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13"/>
  </bookViews>
  <sheets>
    <sheet name="S1" sheetId="1" r:id="rId1"/>
    <sheet name="T1" sheetId="2" r:id="rId2"/>
    <sheet name="S2" sheetId="16" r:id="rId3"/>
    <sheet name="T2" sheetId="17" r:id="rId4"/>
    <sheet name="S3" sheetId="18" r:id="rId5"/>
    <sheet name="T3" sheetId="19" r:id="rId6"/>
    <sheet name="S4" sheetId="20" r:id="rId7"/>
    <sheet name="T4" sheetId="21" r:id="rId8"/>
    <sheet name="S5" sheetId="22" r:id="rId9"/>
    <sheet name="T5" sheetId="23" r:id="rId10"/>
    <sheet name="S6" sheetId="24" r:id="rId11"/>
    <sheet name="T6" sheetId="25" r:id="rId12"/>
    <sheet name="S7" sheetId="26" r:id="rId13"/>
    <sheet name="T7" sheetId="27" r:id="rId14"/>
    <sheet name="Bahn1-2" sheetId="3" r:id="rId15"/>
    <sheet name="Bahn 3-4" sheetId="4" r:id="rId16"/>
    <sheet name="Bahn 5-6" sheetId="5" r:id="rId17"/>
    <sheet name="Bahn 7-8" sheetId="6" r:id="rId18"/>
    <sheet name="Bahn 9-10" sheetId="7" r:id="rId19"/>
    <sheet name="Blanco" sheetId="15" r:id="rId20"/>
    <sheet name="HC" sheetId="8" r:id="rId21"/>
    <sheet name="Spielplan" sheetId="9" r:id="rId22"/>
  </sheets>
  <calcPr calcId="145621"/>
</workbook>
</file>

<file path=xl/calcChain.xml><?xml version="1.0" encoding="utf-8"?>
<calcChain xmlns="http://schemas.openxmlformats.org/spreadsheetml/2006/main">
  <c r="F7" i="27" l="1"/>
  <c r="E7" i="27"/>
  <c r="D7" i="27"/>
  <c r="E12" i="27"/>
  <c r="F12" i="27"/>
  <c r="D12" i="27"/>
  <c r="F13" i="27"/>
  <c r="E13" i="27"/>
  <c r="D13" i="27"/>
  <c r="F14" i="27"/>
  <c r="E14" i="27"/>
  <c r="D14" i="27"/>
  <c r="F11" i="27"/>
  <c r="E11" i="27"/>
  <c r="D11" i="27"/>
  <c r="F9" i="27"/>
  <c r="E9" i="27"/>
  <c r="D9" i="27"/>
  <c r="F5" i="27"/>
  <c r="E5" i="27"/>
  <c r="D5" i="27"/>
  <c r="F8" i="27"/>
  <c r="E8" i="27"/>
  <c r="D8" i="27"/>
  <c r="F10" i="27"/>
  <c r="E10" i="27"/>
  <c r="D10" i="27"/>
  <c r="F6" i="27"/>
  <c r="E6" i="27"/>
  <c r="D6" i="27"/>
  <c r="H7" i="26"/>
  <c r="G7" i="26"/>
  <c r="F7" i="26"/>
  <c r="D7" i="26" s="1"/>
  <c r="E7" i="26" s="1"/>
  <c r="H5" i="26"/>
  <c r="G5" i="26"/>
  <c r="F5" i="26"/>
  <c r="H10" i="26"/>
  <c r="G10" i="26"/>
  <c r="F10" i="26"/>
  <c r="H9" i="26"/>
  <c r="G9" i="26"/>
  <c r="F9" i="26"/>
  <c r="H45" i="26"/>
  <c r="G45" i="26"/>
  <c r="F45" i="26"/>
  <c r="H44" i="26"/>
  <c r="G44" i="26"/>
  <c r="F44" i="26"/>
  <c r="H42" i="26"/>
  <c r="G42" i="26"/>
  <c r="F42" i="26"/>
  <c r="H46" i="26"/>
  <c r="G46" i="26"/>
  <c r="F46" i="26"/>
  <c r="H63" i="26"/>
  <c r="G63" i="26"/>
  <c r="F63" i="26"/>
  <c r="H62" i="26"/>
  <c r="H61" i="26"/>
  <c r="H59" i="26"/>
  <c r="G62" i="26"/>
  <c r="F62" i="26"/>
  <c r="G61" i="26"/>
  <c r="F61" i="26"/>
  <c r="G59" i="26"/>
  <c r="F59" i="26"/>
  <c r="H118" i="26"/>
  <c r="G118" i="26"/>
  <c r="D118" i="26" s="1"/>
  <c r="E118" i="26" s="1"/>
  <c r="F118" i="26"/>
  <c r="I118" i="26" s="1"/>
  <c r="H116" i="26"/>
  <c r="G116" i="26"/>
  <c r="F116" i="26"/>
  <c r="H114" i="26"/>
  <c r="I114" i="26" s="1"/>
  <c r="G114" i="26"/>
  <c r="F114" i="26"/>
  <c r="H113" i="26"/>
  <c r="G113" i="26"/>
  <c r="F113" i="26"/>
  <c r="H90" i="26"/>
  <c r="G90" i="26"/>
  <c r="F90" i="26"/>
  <c r="D90" i="26" s="1"/>
  <c r="E90" i="26" s="1"/>
  <c r="H89" i="26"/>
  <c r="G89" i="26"/>
  <c r="F89" i="26"/>
  <c r="H86" i="26"/>
  <c r="G86" i="26"/>
  <c r="F86" i="26"/>
  <c r="H85" i="26"/>
  <c r="G85" i="26"/>
  <c r="G93" i="26" s="1"/>
  <c r="F85" i="26"/>
  <c r="H100" i="26"/>
  <c r="G100" i="26"/>
  <c r="F100" i="26"/>
  <c r="D100" i="26" s="1"/>
  <c r="E100" i="26" s="1"/>
  <c r="H102" i="26"/>
  <c r="G102" i="26"/>
  <c r="F102" i="26"/>
  <c r="H98" i="26"/>
  <c r="G98" i="26"/>
  <c r="F98" i="26"/>
  <c r="H96" i="26"/>
  <c r="G96" i="26"/>
  <c r="F96" i="26"/>
  <c r="H34" i="26"/>
  <c r="G34" i="26"/>
  <c r="F34" i="26"/>
  <c r="H32" i="26"/>
  <c r="G32" i="26"/>
  <c r="F32" i="26"/>
  <c r="H31" i="26"/>
  <c r="G31" i="26"/>
  <c r="F31" i="26"/>
  <c r="H29" i="26"/>
  <c r="G29" i="26"/>
  <c r="F29" i="26"/>
  <c r="H17" i="26"/>
  <c r="G17" i="26"/>
  <c r="F17" i="26"/>
  <c r="H22" i="26"/>
  <c r="G22" i="26"/>
  <c r="F22" i="26"/>
  <c r="H20" i="26"/>
  <c r="G20" i="26"/>
  <c r="F20" i="26"/>
  <c r="H18" i="26"/>
  <c r="G18" i="26"/>
  <c r="F18" i="26"/>
  <c r="H76" i="26"/>
  <c r="G76" i="26"/>
  <c r="F76" i="26"/>
  <c r="I76" i="26" s="1"/>
  <c r="H75" i="26"/>
  <c r="G75" i="26"/>
  <c r="F75" i="26"/>
  <c r="H73" i="26"/>
  <c r="I73" i="26" s="1"/>
  <c r="G73" i="26"/>
  <c r="F73" i="26"/>
  <c r="H72" i="26"/>
  <c r="G72" i="26"/>
  <c r="F72" i="26"/>
  <c r="I33" i="27"/>
  <c r="F33" i="27"/>
  <c r="G33" i="27" s="1"/>
  <c r="E33" i="27"/>
  <c r="H33" i="27" s="1"/>
  <c r="H27" i="27"/>
  <c r="G27" i="27"/>
  <c r="H22" i="27"/>
  <c r="G22" i="27"/>
  <c r="H29" i="27"/>
  <c r="G29" i="27"/>
  <c r="H21" i="27"/>
  <c r="G21" i="27"/>
  <c r="H25" i="27"/>
  <c r="G25" i="27"/>
  <c r="H30" i="27"/>
  <c r="G30" i="27"/>
  <c r="H24" i="27"/>
  <c r="G24" i="27"/>
  <c r="H23" i="27"/>
  <c r="G23" i="27"/>
  <c r="H28" i="27"/>
  <c r="G28" i="27"/>
  <c r="H26" i="27"/>
  <c r="G26" i="27"/>
  <c r="H19" i="27"/>
  <c r="E19" i="27"/>
  <c r="G15" i="27"/>
  <c r="I5" i="27"/>
  <c r="I121" i="26"/>
  <c r="D121" i="26"/>
  <c r="H117" i="26"/>
  <c r="G117" i="26"/>
  <c r="F117" i="26"/>
  <c r="D116" i="26"/>
  <c r="E116" i="26" s="1"/>
  <c r="H115" i="26"/>
  <c r="G115" i="26"/>
  <c r="F115" i="26"/>
  <c r="D114" i="26"/>
  <c r="E114" i="26" s="1"/>
  <c r="D113" i="26"/>
  <c r="E113" i="26" s="1"/>
  <c r="H112" i="26"/>
  <c r="G112" i="26"/>
  <c r="F112" i="26"/>
  <c r="D112" i="26"/>
  <c r="E112" i="26" s="1"/>
  <c r="H104" i="26"/>
  <c r="G104" i="26"/>
  <c r="F104" i="26"/>
  <c r="D102" i="26"/>
  <c r="E102" i="26" s="1"/>
  <c r="H101" i="26"/>
  <c r="I101" i="26" s="1"/>
  <c r="G101" i="26"/>
  <c r="F101" i="26"/>
  <c r="D101" i="26" s="1"/>
  <c r="E101" i="26" s="1"/>
  <c r="H99" i="26"/>
  <c r="G99" i="26"/>
  <c r="D99" i="26" s="1"/>
  <c r="E99" i="26" s="1"/>
  <c r="F99" i="26"/>
  <c r="D98" i="26"/>
  <c r="E98" i="26" s="1"/>
  <c r="H97" i="26"/>
  <c r="G97" i="26"/>
  <c r="F97" i="26"/>
  <c r="D97" i="26" s="1"/>
  <c r="E97" i="26" s="1"/>
  <c r="I96" i="26"/>
  <c r="D96" i="26"/>
  <c r="E96" i="26" s="1"/>
  <c r="H91" i="26"/>
  <c r="I91" i="26" s="1"/>
  <c r="G91" i="26"/>
  <c r="D91" i="26" s="1"/>
  <c r="F91" i="26"/>
  <c r="I90" i="26"/>
  <c r="D89" i="26"/>
  <c r="E89" i="26" s="1"/>
  <c r="H88" i="26"/>
  <c r="I88" i="26" s="1"/>
  <c r="G88" i="26"/>
  <c r="F88" i="26"/>
  <c r="D88" i="26"/>
  <c r="E88" i="26" s="1"/>
  <c r="H87" i="26"/>
  <c r="G87" i="26"/>
  <c r="F87" i="26"/>
  <c r="I86" i="26"/>
  <c r="D86" i="26"/>
  <c r="E86" i="26" s="1"/>
  <c r="H80" i="26"/>
  <c r="G80" i="26"/>
  <c r="F80" i="26"/>
  <c r="R77" i="26"/>
  <c r="Q77" i="26"/>
  <c r="P77" i="26"/>
  <c r="D75" i="26"/>
  <c r="E75" i="26" s="1"/>
  <c r="H74" i="26"/>
  <c r="G74" i="26"/>
  <c r="F74" i="26"/>
  <c r="D73" i="26"/>
  <c r="E73" i="26" s="1"/>
  <c r="H67" i="26"/>
  <c r="G67" i="26"/>
  <c r="F67" i="26"/>
  <c r="H66" i="26"/>
  <c r="G66" i="26"/>
  <c r="F66" i="26"/>
  <c r="D63" i="26"/>
  <c r="E63" i="26" s="1"/>
  <c r="I62" i="26"/>
  <c r="D62" i="26"/>
  <c r="E62" i="26" s="1"/>
  <c r="D61" i="26"/>
  <c r="E61" i="26" s="1"/>
  <c r="H60" i="26"/>
  <c r="H68" i="26" s="1"/>
  <c r="G60" i="26"/>
  <c r="G68" i="26" s="1"/>
  <c r="F60" i="26"/>
  <c r="I59" i="26"/>
  <c r="I50" i="26"/>
  <c r="D50" i="26"/>
  <c r="H47" i="26"/>
  <c r="G47" i="26"/>
  <c r="F47" i="26"/>
  <c r="I47" i="26" s="1"/>
  <c r="I46" i="26"/>
  <c r="D46" i="26"/>
  <c r="E46" i="26" s="1"/>
  <c r="I45" i="26"/>
  <c r="I44" i="26"/>
  <c r="D44" i="26"/>
  <c r="E44" i="26" s="1"/>
  <c r="H43" i="26"/>
  <c r="G43" i="26"/>
  <c r="G51" i="26" s="1"/>
  <c r="F43" i="26"/>
  <c r="F51" i="26" s="1"/>
  <c r="H51" i="26"/>
  <c r="D42" i="26"/>
  <c r="E42" i="26" s="1"/>
  <c r="H35" i="26"/>
  <c r="G35" i="26"/>
  <c r="F35" i="26"/>
  <c r="I34" i="26"/>
  <c r="H33" i="26"/>
  <c r="G33" i="26"/>
  <c r="D33" i="26" s="1"/>
  <c r="E33" i="26" s="1"/>
  <c r="F33" i="26"/>
  <c r="I32" i="26"/>
  <c r="I31" i="26"/>
  <c r="D31" i="26"/>
  <c r="E31" i="26" s="1"/>
  <c r="H30" i="26"/>
  <c r="G30" i="26"/>
  <c r="F30" i="26"/>
  <c r="I29" i="26"/>
  <c r="D29" i="26"/>
  <c r="E29" i="26" s="1"/>
  <c r="I24" i="26"/>
  <c r="D24" i="26"/>
  <c r="H23" i="26"/>
  <c r="I23" i="26" s="1"/>
  <c r="G23" i="26"/>
  <c r="F23" i="26"/>
  <c r="D23" i="26"/>
  <c r="E23" i="26" s="1"/>
  <c r="I22" i="26"/>
  <c r="H21" i="26"/>
  <c r="G21" i="26"/>
  <c r="F21" i="26"/>
  <c r="D21" i="26"/>
  <c r="E21" i="26" s="1"/>
  <c r="I20" i="26"/>
  <c r="H19" i="26"/>
  <c r="G19" i="26"/>
  <c r="D19" i="26" s="1"/>
  <c r="E19" i="26" s="1"/>
  <c r="F19" i="26"/>
  <c r="D18" i="26"/>
  <c r="E18" i="26" s="1"/>
  <c r="D17" i="26"/>
  <c r="E17" i="26" s="1"/>
  <c r="I13" i="26"/>
  <c r="D13" i="26"/>
  <c r="I10" i="26"/>
  <c r="I9" i="26"/>
  <c r="D9" i="26"/>
  <c r="E9" i="26" s="1"/>
  <c r="H8" i="26"/>
  <c r="G8" i="26"/>
  <c r="F8" i="26"/>
  <c r="I8" i="26" s="1"/>
  <c r="H6" i="26"/>
  <c r="G6" i="26"/>
  <c r="D6" i="26" s="1"/>
  <c r="E6" i="26" s="1"/>
  <c r="F6" i="26"/>
  <c r="I6" i="26" s="1"/>
  <c r="G14" i="26"/>
  <c r="F15" i="27" l="1"/>
  <c r="E15" i="27"/>
  <c r="H15" i="27" s="1"/>
  <c r="I21" i="26"/>
  <c r="I60" i="26"/>
  <c r="D115" i="26"/>
  <c r="E115" i="26" s="1"/>
  <c r="D117" i="26"/>
  <c r="E117" i="26" s="1"/>
  <c r="F81" i="26"/>
  <c r="H107" i="26"/>
  <c r="I116" i="26"/>
  <c r="D5" i="26"/>
  <c r="E5" i="26" s="1"/>
  <c r="H14" i="26"/>
  <c r="F37" i="26"/>
  <c r="D85" i="26"/>
  <c r="E85" i="26" s="1"/>
  <c r="D87" i="26"/>
  <c r="E87" i="26" s="1"/>
  <c r="H93" i="26"/>
  <c r="I7" i="26"/>
  <c r="H25" i="26"/>
  <c r="I19" i="26"/>
  <c r="I33" i="26"/>
  <c r="I74" i="26"/>
  <c r="I80" i="26"/>
  <c r="D59" i="26"/>
  <c r="E59" i="26" s="1"/>
  <c r="F68" i="26"/>
  <c r="I68" i="26" s="1"/>
  <c r="F122" i="26"/>
  <c r="G107" i="26"/>
  <c r="F107" i="26"/>
  <c r="G37" i="26"/>
  <c r="G25" i="26"/>
  <c r="G81" i="26"/>
  <c r="I75" i="26"/>
  <c r="G5" i="27"/>
  <c r="I6" i="27"/>
  <c r="H5" i="27"/>
  <c r="I51" i="26"/>
  <c r="D51" i="26"/>
  <c r="D68" i="26"/>
  <c r="D81" i="26"/>
  <c r="D8" i="26"/>
  <c r="E8" i="26" s="1"/>
  <c r="D10" i="26"/>
  <c r="E10" i="26" s="1"/>
  <c r="F25" i="26"/>
  <c r="I42" i="26"/>
  <c r="I5" i="26"/>
  <c r="F14" i="26"/>
  <c r="D20" i="26"/>
  <c r="E20" i="26" s="1"/>
  <c r="D22" i="26"/>
  <c r="E22" i="26" s="1"/>
  <c r="D30" i="26"/>
  <c r="E30" i="26" s="1"/>
  <c r="D32" i="26"/>
  <c r="E32" i="26" s="1"/>
  <c r="D34" i="26"/>
  <c r="E34" i="26" s="1"/>
  <c r="H37" i="26"/>
  <c r="D43" i="26"/>
  <c r="E43" i="26" s="1"/>
  <c r="D45" i="26"/>
  <c r="E45" i="26" s="1"/>
  <c r="D47" i="26"/>
  <c r="E47" i="26" s="1"/>
  <c r="I61" i="26"/>
  <c r="I63" i="26"/>
  <c r="D72" i="26"/>
  <c r="E72" i="26" s="1"/>
  <c r="D74" i="26"/>
  <c r="E74" i="26" s="1"/>
  <c r="D76" i="26"/>
  <c r="E76" i="26" s="1"/>
  <c r="I85" i="26"/>
  <c r="I87" i="26"/>
  <c r="I89" i="26"/>
  <c r="I97" i="26"/>
  <c r="I100" i="26"/>
  <c r="I102" i="26"/>
  <c r="I113" i="26"/>
  <c r="I115" i="26"/>
  <c r="I117" i="26"/>
  <c r="I30" i="26"/>
  <c r="I43" i="26"/>
  <c r="I72" i="26"/>
  <c r="D80" i="26"/>
  <c r="H81" i="26"/>
  <c r="I81" i="26" s="1"/>
  <c r="F93" i="26"/>
  <c r="D104" i="26"/>
  <c r="I104" i="26"/>
  <c r="F8" i="25"/>
  <c r="E8" i="25"/>
  <c r="D8" i="25"/>
  <c r="F10" i="25"/>
  <c r="E10" i="25"/>
  <c r="D10" i="25"/>
  <c r="F11" i="25"/>
  <c r="E11" i="25"/>
  <c r="D11" i="25"/>
  <c r="F12" i="25"/>
  <c r="E12" i="25"/>
  <c r="D12" i="25"/>
  <c r="F6" i="25"/>
  <c r="E6" i="25"/>
  <c r="D6" i="25"/>
  <c r="F13" i="25"/>
  <c r="E13" i="25"/>
  <c r="D13" i="25"/>
  <c r="F7" i="25"/>
  <c r="E7" i="25"/>
  <c r="D7" i="25"/>
  <c r="F14" i="25"/>
  <c r="E14" i="25"/>
  <c r="D14" i="25"/>
  <c r="F9" i="25"/>
  <c r="E9" i="25"/>
  <c r="D9" i="25"/>
  <c r="F5" i="25"/>
  <c r="E5" i="25"/>
  <c r="D5" i="25"/>
  <c r="H73" i="24"/>
  <c r="I73" i="24" s="1"/>
  <c r="G73" i="24"/>
  <c r="F73" i="24"/>
  <c r="F81" i="24"/>
  <c r="H66" i="24"/>
  <c r="G66" i="24"/>
  <c r="F66" i="24"/>
  <c r="H32" i="24"/>
  <c r="G32" i="24"/>
  <c r="F32" i="24"/>
  <c r="H31" i="24"/>
  <c r="I31" i="24" s="1"/>
  <c r="G31" i="24"/>
  <c r="F31" i="24"/>
  <c r="H30" i="24"/>
  <c r="G30" i="24"/>
  <c r="F30" i="24"/>
  <c r="I30" i="24" s="1"/>
  <c r="H29" i="24"/>
  <c r="G29" i="24"/>
  <c r="F29" i="24"/>
  <c r="H61" i="24"/>
  <c r="G61" i="24"/>
  <c r="D61" i="24" s="1"/>
  <c r="E61" i="24" s="1"/>
  <c r="F61" i="24"/>
  <c r="H63" i="24"/>
  <c r="G63" i="24"/>
  <c r="F63" i="24"/>
  <c r="H59" i="24"/>
  <c r="G59" i="24"/>
  <c r="F59" i="24"/>
  <c r="H5" i="24"/>
  <c r="G5" i="24"/>
  <c r="F5" i="24"/>
  <c r="H10" i="24"/>
  <c r="G10" i="24"/>
  <c r="F10" i="24"/>
  <c r="H6" i="24"/>
  <c r="G6" i="24"/>
  <c r="F6" i="24"/>
  <c r="H9" i="24"/>
  <c r="G9" i="24"/>
  <c r="F9" i="24"/>
  <c r="H45" i="24"/>
  <c r="G45" i="24"/>
  <c r="F45" i="24"/>
  <c r="I45" i="24" s="1"/>
  <c r="H44" i="24"/>
  <c r="G44" i="24"/>
  <c r="F44" i="24"/>
  <c r="H46" i="24"/>
  <c r="G46" i="24"/>
  <c r="F46" i="24"/>
  <c r="H43" i="24"/>
  <c r="G43" i="24"/>
  <c r="F43" i="24"/>
  <c r="H80" i="24"/>
  <c r="G80" i="24"/>
  <c r="F80" i="24"/>
  <c r="H76" i="24"/>
  <c r="G76" i="24"/>
  <c r="F76" i="24"/>
  <c r="H74" i="24"/>
  <c r="G74" i="24"/>
  <c r="F74" i="24"/>
  <c r="H90" i="24"/>
  <c r="G90" i="24"/>
  <c r="F90" i="24"/>
  <c r="H89" i="24"/>
  <c r="G89" i="24"/>
  <c r="F89" i="24"/>
  <c r="D89" i="24" s="1"/>
  <c r="E89" i="24" s="1"/>
  <c r="H87" i="24"/>
  <c r="G87" i="24"/>
  <c r="F87" i="24"/>
  <c r="H86" i="24"/>
  <c r="G86" i="24"/>
  <c r="F86" i="24"/>
  <c r="I86" i="24" s="1"/>
  <c r="H17" i="24"/>
  <c r="G17" i="24"/>
  <c r="F17" i="24"/>
  <c r="H22" i="24"/>
  <c r="G22" i="24"/>
  <c r="F22" i="24"/>
  <c r="D22" i="24" s="1"/>
  <c r="E22" i="24" s="1"/>
  <c r="H20" i="24"/>
  <c r="G20" i="24"/>
  <c r="D20" i="24" s="1"/>
  <c r="E20" i="24" s="1"/>
  <c r="F20" i="24"/>
  <c r="H18" i="24"/>
  <c r="G18" i="24"/>
  <c r="F18" i="24"/>
  <c r="H101" i="24"/>
  <c r="G101" i="24"/>
  <c r="F101" i="24"/>
  <c r="H102" i="24"/>
  <c r="G102" i="24"/>
  <c r="F102" i="24"/>
  <c r="H99" i="24"/>
  <c r="G99" i="24"/>
  <c r="D99" i="24" s="1"/>
  <c r="E99" i="24" s="1"/>
  <c r="F99" i="24"/>
  <c r="H98" i="24"/>
  <c r="G98" i="24"/>
  <c r="F98" i="24"/>
  <c r="I33" i="25"/>
  <c r="F33" i="25"/>
  <c r="G33" i="25" s="1"/>
  <c r="E33" i="25"/>
  <c r="H33" i="25" s="1"/>
  <c r="H24" i="25"/>
  <c r="G24" i="25"/>
  <c r="H27" i="25"/>
  <c r="G27" i="25"/>
  <c r="H23" i="25"/>
  <c r="G23" i="25"/>
  <c r="H28" i="25"/>
  <c r="G28" i="25"/>
  <c r="H30" i="25"/>
  <c r="G30" i="25"/>
  <c r="H25" i="25"/>
  <c r="G25" i="25"/>
  <c r="H29" i="25"/>
  <c r="G29" i="25"/>
  <c r="H21" i="25"/>
  <c r="G21" i="25"/>
  <c r="H22" i="25"/>
  <c r="G22" i="25"/>
  <c r="H26" i="25"/>
  <c r="G26" i="25"/>
  <c r="H19" i="25"/>
  <c r="E19" i="25"/>
  <c r="G15" i="25"/>
  <c r="I5" i="25"/>
  <c r="G5" i="25"/>
  <c r="O143" i="24"/>
  <c r="I143" i="24"/>
  <c r="H143" i="24"/>
  <c r="G143" i="24"/>
  <c r="F143" i="24"/>
  <c r="D143" i="24"/>
  <c r="E143" i="24" s="1"/>
  <c r="H142" i="24"/>
  <c r="G142" i="24"/>
  <c r="F142" i="24"/>
  <c r="D142" i="24" s="1"/>
  <c r="E142" i="24" s="1"/>
  <c r="I141" i="24"/>
  <c r="H141" i="24"/>
  <c r="G141" i="24"/>
  <c r="F141" i="24"/>
  <c r="E141" i="24"/>
  <c r="D141" i="24"/>
  <c r="H140" i="24"/>
  <c r="G140" i="24"/>
  <c r="F140" i="24"/>
  <c r="D140" i="24" s="1"/>
  <c r="E140" i="24" s="1"/>
  <c r="I139" i="24"/>
  <c r="H139" i="24"/>
  <c r="G139" i="24"/>
  <c r="F139" i="24"/>
  <c r="E139" i="24"/>
  <c r="D139" i="24"/>
  <c r="H138" i="24"/>
  <c r="G138" i="24"/>
  <c r="F138" i="24"/>
  <c r="D138" i="24" s="1"/>
  <c r="E138" i="24" s="1"/>
  <c r="I137" i="24"/>
  <c r="H137" i="24"/>
  <c r="G137" i="24"/>
  <c r="F137" i="24"/>
  <c r="E137" i="24"/>
  <c r="D137" i="24"/>
  <c r="H135" i="24"/>
  <c r="G135" i="24"/>
  <c r="D135" i="24" s="1"/>
  <c r="E135" i="24" s="1"/>
  <c r="F135" i="24"/>
  <c r="I135" i="24" s="1"/>
  <c r="I133" i="24"/>
  <c r="H133" i="24"/>
  <c r="G133" i="24"/>
  <c r="F133" i="24"/>
  <c r="E133" i="24"/>
  <c r="D133" i="24"/>
  <c r="H132" i="24"/>
  <c r="G132" i="24"/>
  <c r="F132" i="24"/>
  <c r="D132" i="24" s="1"/>
  <c r="E132" i="24" s="1"/>
  <c r="I131" i="24"/>
  <c r="H131" i="24"/>
  <c r="G131" i="24"/>
  <c r="F131" i="24"/>
  <c r="E131" i="24"/>
  <c r="D131" i="24"/>
  <c r="H130" i="24"/>
  <c r="G130" i="24"/>
  <c r="F130" i="24"/>
  <c r="D130" i="24" s="1"/>
  <c r="E130" i="24" s="1"/>
  <c r="I129" i="24"/>
  <c r="H129" i="24"/>
  <c r="G129" i="24"/>
  <c r="F129" i="24"/>
  <c r="E129" i="24"/>
  <c r="D129" i="24"/>
  <c r="H128" i="24"/>
  <c r="G128" i="24"/>
  <c r="F128" i="24"/>
  <c r="D128" i="24" s="1"/>
  <c r="E128" i="24" s="1"/>
  <c r="I119" i="24"/>
  <c r="D119" i="24"/>
  <c r="H117" i="24"/>
  <c r="G117" i="24"/>
  <c r="F117" i="24"/>
  <c r="D117" i="24" s="1"/>
  <c r="E117" i="24" s="1"/>
  <c r="I116" i="24"/>
  <c r="H116" i="24"/>
  <c r="G116" i="24"/>
  <c r="F116" i="24"/>
  <c r="E116" i="24"/>
  <c r="D116" i="24"/>
  <c r="H115" i="24"/>
  <c r="G115" i="24"/>
  <c r="F115" i="24"/>
  <c r="D115" i="24" s="1"/>
  <c r="E115" i="24" s="1"/>
  <c r="I114" i="24"/>
  <c r="H114" i="24"/>
  <c r="G114" i="24"/>
  <c r="F114" i="24"/>
  <c r="E114" i="24"/>
  <c r="D114" i="24"/>
  <c r="H113" i="24"/>
  <c r="G113" i="24"/>
  <c r="F113" i="24"/>
  <c r="D113" i="24" s="1"/>
  <c r="E113" i="24" s="1"/>
  <c r="H112" i="24"/>
  <c r="G112" i="24"/>
  <c r="F112" i="24"/>
  <c r="F120" i="24" s="1"/>
  <c r="D112" i="24"/>
  <c r="E112" i="24" s="1"/>
  <c r="H104" i="24"/>
  <c r="G104" i="24"/>
  <c r="F104" i="24"/>
  <c r="I104" i="24" s="1"/>
  <c r="D102" i="24"/>
  <c r="E102" i="24" s="1"/>
  <c r="I101" i="24"/>
  <c r="D101" i="24"/>
  <c r="E101" i="24" s="1"/>
  <c r="H100" i="24"/>
  <c r="G100" i="24"/>
  <c r="F100" i="24"/>
  <c r="D100" i="24" s="1"/>
  <c r="E100" i="24" s="1"/>
  <c r="D98" i="24"/>
  <c r="E98" i="24" s="1"/>
  <c r="H97" i="24"/>
  <c r="G97" i="24"/>
  <c r="G107" i="24" s="1"/>
  <c r="F97" i="24"/>
  <c r="D97" i="24" s="1"/>
  <c r="E97" i="24" s="1"/>
  <c r="I96" i="24"/>
  <c r="H96" i="24"/>
  <c r="H107" i="24" s="1"/>
  <c r="G96" i="24"/>
  <c r="F96" i="24"/>
  <c r="E96" i="24"/>
  <c r="D96" i="24"/>
  <c r="H91" i="24"/>
  <c r="I91" i="24" s="1"/>
  <c r="G91" i="24"/>
  <c r="D91" i="24" s="1"/>
  <c r="F91" i="24"/>
  <c r="I90" i="24"/>
  <c r="D90" i="24"/>
  <c r="E90" i="24" s="1"/>
  <c r="I88" i="24"/>
  <c r="H88" i="24"/>
  <c r="G88" i="24"/>
  <c r="F88" i="24"/>
  <c r="E88" i="24"/>
  <c r="D88" i="24"/>
  <c r="D87" i="24"/>
  <c r="E87" i="24" s="1"/>
  <c r="H85" i="24"/>
  <c r="G85" i="24"/>
  <c r="F85" i="24"/>
  <c r="D85" i="24" s="1"/>
  <c r="E85" i="24" s="1"/>
  <c r="I80" i="24"/>
  <c r="R77" i="24"/>
  <c r="Q77" i="24"/>
  <c r="P77" i="24"/>
  <c r="I76" i="24"/>
  <c r="H75" i="24"/>
  <c r="I75" i="24" s="1"/>
  <c r="G75" i="24"/>
  <c r="F75" i="24"/>
  <c r="D75" i="24"/>
  <c r="E75" i="24" s="1"/>
  <c r="I74" i="24"/>
  <c r="D73" i="24"/>
  <c r="E73" i="24" s="1"/>
  <c r="H72" i="24"/>
  <c r="G72" i="24"/>
  <c r="F72" i="24"/>
  <c r="H67" i="24"/>
  <c r="G67" i="24"/>
  <c r="F67" i="24"/>
  <c r="D63" i="24"/>
  <c r="E63" i="24" s="1"/>
  <c r="H62" i="24"/>
  <c r="I62" i="24" s="1"/>
  <c r="G62" i="24"/>
  <c r="F62" i="24"/>
  <c r="D62" i="24"/>
  <c r="E62" i="24" s="1"/>
  <c r="G68" i="24"/>
  <c r="H60" i="24"/>
  <c r="I60" i="24" s="1"/>
  <c r="G60" i="24"/>
  <c r="F60" i="24"/>
  <c r="H68" i="24"/>
  <c r="D59" i="24"/>
  <c r="E59" i="24" s="1"/>
  <c r="I50" i="24"/>
  <c r="D50" i="24"/>
  <c r="I47" i="24"/>
  <c r="H47" i="24"/>
  <c r="G47" i="24"/>
  <c r="F47" i="24"/>
  <c r="D47" i="24" s="1"/>
  <c r="E47" i="24" s="1"/>
  <c r="D46" i="24"/>
  <c r="E46" i="24" s="1"/>
  <c r="D45" i="24"/>
  <c r="E45" i="24" s="1"/>
  <c r="D44" i="24"/>
  <c r="E44" i="24" s="1"/>
  <c r="I43" i="24"/>
  <c r="F51" i="24"/>
  <c r="H42" i="24"/>
  <c r="H51" i="24" s="1"/>
  <c r="G42" i="24"/>
  <c r="F42" i="24"/>
  <c r="H35" i="24"/>
  <c r="G35" i="24"/>
  <c r="F35" i="24"/>
  <c r="I34" i="24"/>
  <c r="H34" i="24"/>
  <c r="G34" i="24"/>
  <c r="F34" i="24"/>
  <c r="D34" i="24" s="1"/>
  <c r="E34" i="24" s="1"/>
  <c r="H33" i="24"/>
  <c r="I33" i="24" s="1"/>
  <c r="G33" i="24"/>
  <c r="D33" i="24" s="1"/>
  <c r="E33" i="24" s="1"/>
  <c r="F33" i="24"/>
  <c r="I32" i="24"/>
  <c r="D32" i="24"/>
  <c r="E32" i="24" s="1"/>
  <c r="D31" i="24"/>
  <c r="E31" i="24" s="1"/>
  <c r="F37" i="24"/>
  <c r="I29" i="24"/>
  <c r="I24" i="24"/>
  <c r="D24" i="24"/>
  <c r="H23" i="24"/>
  <c r="I23" i="24" s="1"/>
  <c r="G23" i="24"/>
  <c r="D23" i="24" s="1"/>
  <c r="E23" i="24" s="1"/>
  <c r="F23" i="24"/>
  <c r="I22" i="24"/>
  <c r="H21" i="24"/>
  <c r="I21" i="24" s="1"/>
  <c r="G21" i="24"/>
  <c r="D21" i="24" s="1"/>
  <c r="E21" i="24" s="1"/>
  <c r="F21" i="24"/>
  <c r="I20" i="24"/>
  <c r="H19" i="24"/>
  <c r="I19" i="24" s="1"/>
  <c r="G19" i="24"/>
  <c r="D19" i="24" s="1"/>
  <c r="E19" i="24" s="1"/>
  <c r="F19" i="24"/>
  <c r="H25" i="24"/>
  <c r="D18" i="24"/>
  <c r="E18" i="24" s="1"/>
  <c r="G25" i="24"/>
  <c r="I11" i="24"/>
  <c r="D11" i="24"/>
  <c r="I10" i="24"/>
  <c r="I9" i="24"/>
  <c r="D9" i="24"/>
  <c r="E9" i="24" s="1"/>
  <c r="H8" i="24"/>
  <c r="G8" i="24"/>
  <c r="F8" i="24"/>
  <c r="I8" i="24" s="1"/>
  <c r="I6" i="24"/>
  <c r="D6" i="24"/>
  <c r="E6" i="24" s="1"/>
  <c r="H117" i="22"/>
  <c r="G117" i="22"/>
  <c r="F117" i="22"/>
  <c r="H115" i="22"/>
  <c r="G115" i="22"/>
  <c r="F115" i="22"/>
  <c r="H114" i="22"/>
  <c r="G114" i="22"/>
  <c r="F114" i="22"/>
  <c r="H112" i="22"/>
  <c r="G112" i="22"/>
  <c r="F112" i="22"/>
  <c r="I107" i="26" l="1"/>
  <c r="I37" i="26"/>
  <c r="D37" i="26"/>
  <c r="D25" i="26"/>
  <c r="H6" i="27"/>
  <c r="G6" i="27"/>
  <c r="I7" i="27"/>
  <c r="I93" i="26"/>
  <c r="D93" i="26"/>
  <c r="I14" i="26"/>
  <c r="D14" i="26"/>
  <c r="F15" i="25"/>
  <c r="E15" i="25"/>
  <c r="H15" i="25" s="1"/>
  <c r="F68" i="24"/>
  <c r="G37" i="24"/>
  <c r="G13" i="24"/>
  <c r="D13" i="24" s="1"/>
  <c r="F13" i="24"/>
  <c r="I44" i="24"/>
  <c r="I46" i="24"/>
  <c r="G51" i="24"/>
  <c r="D51" i="24" s="1"/>
  <c r="G81" i="24"/>
  <c r="D81" i="24" s="1"/>
  <c r="H93" i="24"/>
  <c r="G93" i="24"/>
  <c r="D86" i="24"/>
  <c r="E86" i="24" s="1"/>
  <c r="F25" i="24"/>
  <c r="D25" i="24" s="1"/>
  <c r="I6" i="25"/>
  <c r="H5" i="25"/>
  <c r="I51" i="24"/>
  <c r="I68" i="24"/>
  <c r="D68" i="24"/>
  <c r="D37" i="24"/>
  <c r="H13" i="24"/>
  <c r="I13" i="24" s="1"/>
  <c r="I59" i="24"/>
  <c r="D5" i="24"/>
  <c r="E5" i="24" s="1"/>
  <c r="D8" i="24"/>
  <c r="E8" i="24" s="1"/>
  <c r="D10" i="24"/>
  <c r="E10" i="24" s="1"/>
  <c r="I5" i="24"/>
  <c r="D17" i="24"/>
  <c r="E17" i="24" s="1"/>
  <c r="D30" i="24"/>
  <c r="E30" i="24" s="1"/>
  <c r="H37" i="24"/>
  <c r="I37" i="24" s="1"/>
  <c r="D43" i="24"/>
  <c r="E43" i="24" s="1"/>
  <c r="I61" i="24"/>
  <c r="I63" i="24"/>
  <c r="D72" i="24"/>
  <c r="E72" i="24" s="1"/>
  <c r="D74" i="24"/>
  <c r="E74" i="24" s="1"/>
  <c r="D76" i="24"/>
  <c r="E76" i="24" s="1"/>
  <c r="I85" i="24"/>
  <c r="I87" i="24"/>
  <c r="I89" i="24"/>
  <c r="I97" i="24"/>
  <c r="I100" i="24"/>
  <c r="I102" i="24"/>
  <c r="I113" i="24"/>
  <c r="I115" i="24"/>
  <c r="I117" i="24"/>
  <c r="I128" i="24"/>
  <c r="I130" i="24"/>
  <c r="I132" i="24"/>
  <c r="I138" i="24"/>
  <c r="I140" i="24"/>
  <c r="I142" i="24"/>
  <c r="I72" i="24"/>
  <c r="D80" i="24"/>
  <c r="H81" i="24"/>
  <c r="F93" i="24"/>
  <c r="D104" i="24"/>
  <c r="F107" i="24"/>
  <c r="I107" i="24" s="1"/>
  <c r="D29" i="24"/>
  <c r="E29" i="24" s="1"/>
  <c r="D42" i="24"/>
  <c r="E42" i="24" s="1"/>
  <c r="I42" i="24"/>
  <c r="F13" i="23"/>
  <c r="E13" i="23"/>
  <c r="D13" i="23"/>
  <c r="F14" i="23"/>
  <c r="E14" i="23"/>
  <c r="D14" i="23"/>
  <c r="F11" i="23"/>
  <c r="E11" i="23"/>
  <c r="D11" i="23"/>
  <c r="F10" i="23"/>
  <c r="E10" i="23"/>
  <c r="D10" i="23"/>
  <c r="F7" i="23"/>
  <c r="E7" i="23"/>
  <c r="D7" i="23"/>
  <c r="F12" i="23"/>
  <c r="E12" i="23"/>
  <c r="D12" i="23"/>
  <c r="F6" i="23"/>
  <c r="E6" i="23"/>
  <c r="D6" i="23"/>
  <c r="F9" i="23"/>
  <c r="E9" i="23"/>
  <c r="D9" i="23"/>
  <c r="F5" i="23"/>
  <c r="F15" i="23" s="1"/>
  <c r="E5" i="23"/>
  <c r="D5" i="23"/>
  <c r="F8" i="23"/>
  <c r="E8" i="23"/>
  <c r="D8" i="23"/>
  <c r="G116" i="22"/>
  <c r="F116" i="22"/>
  <c r="I116" i="22" s="1"/>
  <c r="H113" i="22"/>
  <c r="G113" i="22"/>
  <c r="D113" i="22" s="1"/>
  <c r="E113" i="22" s="1"/>
  <c r="F113" i="22"/>
  <c r="D112" i="22"/>
  <c r="E112" i="22" s="1"/>
  <c r="H116" i="22"/>
  <c r="I114" i="22"/>
  <c r="E30" i="22"/>
  <c r="H34" i="22"/>
  <c r="G34" i="22"/>
  <c r="F34" i="22"/>
  <c r="H33" i="22"/>
  <c r="G33" i="22"/>
  <c r="F33" i="22"/>
  <c r="H32" i="22"/>
  <c r="I32" i="22" s="1"/>
  <c r="G32" i="22"/>
  <c r="F32" i="22"/>
  <c r="E31" i="22"/>
  <c r="H31" i="22"/>
  <c r="G31" i="22"/>
  <c r="F31" i="22"/>
  <c r="H30" i="22"/>
  <c r="G30" i="22"/>
  <c r="F30" i="22"/>
  <c r="H29" i="22"/>
  <c r="G29" i="22"/>
  <c r="F29" i="22"/>
  <c r="F37" i="22" s="1"/>
  <c r="H43" i="22"/>
  <c r="G43" i="22"/>
  <c r="F43" i="22"/>
  <c r="H45" i="22"/>
  <c r="G45" i="22"/>
  <c r="F45" i="22"/>
  <c r="H44" i="22"/>
  <c r="G44" i="22"/>
  <c r="F44" i="22"/>
  <c r="H42" i="22"/>
  <c r="I42" i="22" s="1"/>
  <c r="G42" i="22"/>
  <c r="F42" i="22"/>
  <c r="H46" i="22"/>
  <c r="I46" i="22" s="1"/>
  <c r="G46" i="22"/>
  <c r="F46" i="22"/>
  <c r="H10" i="22"/>
  <c r="G10" i="22"/>
  <c r="F10" i="22"/>
  <c r="H5" i="22"/>
  <c r="G5" i="22"/>
  <c r="F5" i="22"/>
  <c r="H8" i="22"/>
  <c r="G8" i="22"/>
  <c r="F8" i="22"/>
  <c r="D8" i="22"/>
  <c r="E8" i="22" s="1"/>
  <c r="H6" i="22"/>
  <c r="G6" i="22"/>
  <c r="F6" i="22"/>
  <c r="H9" i="22"/>
  <c r="I9" i="22" s="1"/>
  <c r="G9" i="22"/>
  <c r="F9" i="22"/>
  <c r="I91" i="22"/>
  <c r="H91" i="22"/>
  <c r="G91" i="22"/>
  <c r="F91" i="22"/>
  <c r="H90" i="22"/>
  <c r="G90" i="22"/>
  <c r="F90" i="22"/>
  <c r="H89" i="22"/>
  <c r="G89" i="22"/>
  <c r="F89" i="22"/>
  <c r="H88" i="22"/>
  <c r="I88" i="22" s="1"/>
  <c r="G88" i="22"/>
  <c r="F88" i="22"/>
  <c r="H87" i="22"/>
  <c r="G87" i="22"/>
  <c r="F87" i="22"/>
  <c r="H86" i="22"/>
  <c r="G86" i="22"/>
  <c r="D86" i="22" s="1"/>
  <c r="E86" i="22" s="1"/>
  <c r="F86" i="22"/>
  <c r="H85" i="22"/>
  <c r="G85" i="22"/>
  <c r="F85" i="22"/>
  <c r="I107" i="22"/>
  <c r="H107" i="22"/>
  <c r="G107" i="22"/>
  <c r="F107" i="22"/>
  <c r="H104" i="22"/>
  <c r="G104" i="22"/>
  <c r="F104" i="22"/>
  <c r="H102" i="22"/>
  <c r="G102" i="22"/>
  <c r="D102" i="22" s="1"/>
  <c r="E102" i="22" s="1"/>
  <c r="F102" i="22"/>
  <c r="H101" i="22"/>
  <c r="G101" i="22"/>
  <c r="F101" i="22"/>
  <c r="H97" i="22"/>
  <c r="G97" i="22"/>
  <c r="F97" i="22"/>
  <c r="H100" i="22"/>
  <c r="G100" i="22"/>
  <c r="F100" i="22"/>
  <c r="H99" i="22"/>
  <c r="G99" i="22"/>
  <c r="F99" i="22"/>
  <c r="H98" i="22"/>
  <c r="G98" i="22"/>
  <c r="F98" i="22"/>
  <c r="H96" i="22"/>
  <c r="G96" i="22"/>
  <c r="F96" i="22"/>
  <c r="H68" i="22"/>
  <c r="G68" i="22"/>
  <c r="F68" i="22"/>
  <c r="F66" i="22"/>
  <c r="E61" i="22"/>
  <c r="H63" i="22"/>
  <c r="G63" i="22"/>
  <c r="F63" i="22"/>
  <c r="H62" i="22"/>
  <c r="G62" i="22"/>
  <c r="F62" i="22"/>
  <c r="H61" i="22"/>
  <c r="G61" i="22"/>
  <c r="F61" i="22"/>
  <c r="I61" i="22" s="1"/>
  <c r="H59" i="22"/>
  <c r="I59" i="22" s="1"/>
  <c r="G59" i="22"/>
  <c r="F59" i="22"/>
  <c r="I23" i="22"/>
  <c r="D23" i="22"/>
  <c r="E23" i="22"/>
  <c r="H23" i="22"/>
  <c r="G23" i="22"/>
  <c r="F23" i="22"/>
  <c r="H21" i="22"/>
  <c r="G21" i="22"/>
  <c r="F21" i="22"/>
  <c r="H20" i="22"/>
  <c r="G20" i="22"/>
  <c r="F20" i="22"/>
  <c r="H19" i="22"/>
  <c r="G19" i="22"/>
  <c r="F19" i="22"/>
  <c r="H17" i="22"/>
  <c r="G17" i="22"/>
  <c r="F17" i="22"/>
  <c r="H22" i="22"/>
  <c r="G22" i="22"/>
  <c r="F22" i="22"/>
  <c r="H18" i="22"/>
  <c r="G18" i="22"/>
  <c r="F18" i="22"/>
  <c r="H80" i="22"/>
  <c r="G80" i="22"/>
  <c r="F80" i="22"/>
  <c r="I80" i="22" s="1"/>
  <c r="H76" i="22"/>
  <c r="G76" i="22"/>
  <c r="F76" i="22"/>
  <c r="H75" i="22"/>
  <c r="I75" i="22" s="1"/>
  <c r="G75" i="22"/>
  <c r="F75" i="22"/>
  <c r="H73" i="22"/>
  <c r="G73" i="22"/>
  <c r="F73" i="22"/>
  <c r="H74" i="22"/>
  <c r="G74" i="22"/>
  <c r="F74" i="22"/>
  <c r="I74" i="22" s="1"/>
  <c r="H72" i="22"/>
  <c r="G72" i="22"/>
  <c r="F72" i="22"/>
  <c r="I33" i="23"/>
  <c r="F33" i="23"/>
  <c r="G33" i="23" s="1"/>
  <c r="E33" i="23"/>
  <c r="H33" i="23" s="1"/>
  <c r="H30" i="23"/>
  <c r="G30" i="23"/>
  <c r="H24" i="23"/>
  <c r="G24" i="23"/>
  <c r="H26" i="23"/>
  <c r="G26" i="23"/>
  <c r="H29" i="23"/>
  <c r="G29" i="23"/>
  <c r="H27" i="23"/>
  <c r="G27" i="23"/>
  <c r="H22" i="23"/>
  <c r="G22" i="23"/>
  <c r="H28" i="23"/>
  <c r="G28" i="23"/>
  <c r="H21" i="23"/>
  <c r="G21" i="23"/>
  <c r="H23" i="23"/>
  <c r="G23" i="23"/>
  <c r="H25" i="23"/>
  <c r="G25" i="23"/>
  <c r="H19" i="23"/>
  <c r="E19" i="23"/>
  <c r="G15" i="23"/>
  <c r="I5" i="23"/>
  <c r="G5" i="23" s="1"/>
  <c r="E15" i="23"/>
  <c r="H15" i="23" s="1"/>
  <c r="H142" i="22"/>
  <c r="I142" i="22" s="1"/>
  <c r="G142" i="22"/>
  <c r="F142" i="22"/>
  <c r="D142" i="22"/>
  <c r="E142" i="22" s="1"/>
  <c r="H141" i="22"/>
  <c r="G141" i="22"/>
  <c r="F141" i="22"/>
  <c r="I141" i="22" s="1"/>
  <c r="H140" i="22"/>
  <c r="I140" i="22" s="1"/>
  <c r="G140" i="22"/>
  <c r="F140" i="22"/>
  <c r="D140" i="22"/>
  <c r="E140" i="22" s="1"/>
  <c r="H139" i="22"/>
  <c r="G139" i="22"/>
  <c r="F139" i="22"/>
  <c r="I139" i="22" s="1"/>
  <c r="H138" i="22"/>
  <c r="I138" i="22" s="1"/>
  <c r="G138" i="22"/>
  <c r="F138" i="22"/>
  <c r="D138" i="22"/>
  <c r="E138" i="22" s="1"/>
  <c r="H137" i="22"/>
  <c r="G137" i="22"/>
  <c r="F137" i="22"/>
  <c r="I137" i="22" s="1"/>
  <c r="H135" i="22"/>
  <c r="I135" i="22" s="1"/>
  <c r="G135" i="22"/>
  <c r="F135" i="22"/>
  <c r="D135" i="22"/>
  <c r="E135" i="22" s="1"/>
  <c r="I117" i="22"/>
  <c r="H133" i="22"/>
  <c r="I133" i="22" s="1"/>
  <c r="G133" i="22"/>
  <c r="F133" i="22"/>
  <c r="D133" i="22"/>
  <c r="E133" i="22" s="1"/>
  <c r="H132" i="22"/>
  <c r="G132" i="22"/>
  <c r="F132" i="22"/>
  <c r="I132" i="22" s="1"/>
  <c r="H131" i="22"/>
  <c r="I131" i="22" s="1"/>
  <c r="G131" i="22"/>
  <c r="F131" i="22"/>
  <c r="D131" i="22"/>
  <c r="E131" i="22" s="1"/>
  <c r="H130" i="22"/>
  <c r="G130" i="22"/>
  <c r="F130" i="22"/>
  <c r="I130" i="22" s="1"/>
  <c r="H129" i="22"/>
  <c r="I129" i="22" s="1"/>
  <c r="G129" i="22"/>
  <c r="F129" i="22"/>
  <c r="D129" i="22"/>
  <c r="E129" i="22" s="1"/>
  <c r="H128" i="22"/>
  <c r="G128" i="22"/>
  <c r="F128" i="22"/>
  <c r="I128" i="22" s="1"/>
  <c r="I119" i="22"/>
  <c r="D119" i="22"/>
  <c r="D116" i="22"/>
  <c r="E116" i="22" s="1"/>
  <c r="D115" i="22"/>
  <c r="E115" i="22" s="1"/>
  <c r="D114" i="22"/>
  <c r="E114" i="22" s="1"/>
  <c r="I104" i="22"/>
  <c r="I101" i="22"/>
  <c r="I100" i="22"/>
  <c r="D100" i="22"/>
  <c r="E100" i="22" s="1"/>
  <c r="D99" i="22"/>
  <c r="E99" i="22" s="1"/>
  <c r="D98" i="22"/>
  <c r="E98" i="22" s="1"/>
  <c r="I97" i="22"/>
  <c r="D97" i="22"/>
  <c r="E97" i="22" s="1"/>
  <c r="I90" i="22"/>
  <c r="D90" i="22"/>
  <c r="E90" i="22" s="1"/>
  <c r="D89" i="22"/>
  <c r="E89" i="22" s="1"/>
  <c r="D88" i="22"/>
  <c r="E88" i="22" s="1"/>
  <c r="D87" i="22"/>
  <c r="E87" i="22" s="1"/>
  <c r="I86" i="22"/>
  <c r="D85" i="22"/>
  <c r="E85" i="22" s="1"/>
  <c r="O143" i="22"/>
  <c r="H143" i="22"/>
  <c r="I143" i="22" s="1"/>
  <c r="G143" i="22"/>
  <c r="F143" i="22"/>
  <c r="D143" i="22"/>
  <c r="E143" i="22" s="1"/>
  <c r="R77" i="22"/>
  <c r="Q77" i="22"/>
  <c r="P77" i="22"/>
  <c r="D76" i="22"/>
  <c r="E76" i="22" s="1"/>
  <c r="D73" i="22"/>
  <c r="E73" i="22" s="1"/>
  <c r="I72" i="22"/>
  <c r="F81" i="22"/>
  <c r="D72" i="22"/>
  <c r="E72" i="22" s="1"/>
  <c r="H67" i="22"/>
  <c r="G67" i="22"/>
  <c r="F67" i="22"/>
  <c r="H66" i="22"/>
  <c r="G66" i="22"/>
  <c r="I63" i="22"/>
  <c r="I62" i="22"/>
  <c r="D62" i="22"/>
  <c r="E62" i="22" s="1"/>
  <c r="H60" i="22"/>
  <c r="G60" i="22"/>
  <c r="F60" i="22"/>
  <c r="I60" i="22" s="1"/>
  <c r="I50" i="22"/>
  <c r="H47" i="22"/>
  <c r="G47" i="22"/>
  <c r="F47" i="22"/>
  <c r="D47" i="22" s="1"/>
  <c r="E47" i="22" s="1"/>
  <c r="D46" i="22"/>
  <c r="E46" i="22" s="1"/>
  <c r="D45" i="22"/>
  <c r="E45" i="22" s="1"/>
  <c r="I44" i="22"/>
  <c r="D44" i="22"/>
  <c r="E44" i="22" s="1"/>
  <c r="G51" i="22"/>
  <c r="F51" i="22"/>
  <c r="D42" i="22"/>
  <c r="E42" i="22" s="1"/>
  <c r="H35" i="22"/>
  <c r="G35" i="22"/>
  <c r="F35" i="22"/>
  <c r="D34" i="22"/>
  <c r="E34" i="22" s="1"/>
  <c r="D33" i="22"/>
  <c r="E33" i="22" s="1"/>
  <c r="I31" i="22"/>
  <c r="D31" i="22"/>
  <c r="D30" i="22"/>
  <c r="I24" i="22"/>
  <c r="D24" i="22"/>
  <c r="D22" i="22"/>
  <c r="E22" i="22" s="1"/>
  <c r="D21" i="22"/>
  <c r="E21" i="22" s="1"/>
  <c r="D20" i="22"/>
  <c r="E20" i="22" s="1"/>
  <c r="D18" i="22"/>
  <c r="E18" i="22" s="1"/>
  <c r="I11" i="22"/>
  <c r="D11" i="22"/>
  <c r="D10" i="22"/>
  <c r="E10" i="22" s="1"/>
  <c r="G13" i="22"/>
  <c r="D6" i="22"/>
  <c r="E6" i="22" s="1"/>
  <c r="I8" i="27" l="1"/>
  <c r="G8" i="27"/>
  <c r="H8" i="27"/>
  <c r="I81" i="24"/>
  <c r="I7" i="25"/>
  <c r="H6" i="25"/>
  <c r="G6" i="25"/>
  <c r="I93" i="24"/>
  <c r="D93" i="24"/>
  <c r="I29" i="22"/>
  <c r="H37" i="22"/>
  <c r="I37" i="22" s="1"/>
  <c r="D43" i="22"/>
  <c r="E43" i="22" s="1"/>
  <c r="H51" i="22"/>
  <c r="I51" i="22" s="1"/>
  <c r="I10" i="22"/>
  <c r="D5" i="22"/>
  <c r="E5" i="22" s="1"/>
  <c r="I5" i="22"/>
  <c r="I8" i="22"/>
  <c r="D91" i="22"/>
  <c r="H93" i="22"/>
  <c r="G93" i="22"/>
  <c r="I102" i="22"/>
  <c r="H25" i="22"/>
  <c r="I20" i="22"/>
  <c r="D17" i="22"/>
  <c r="E17" i="22" s="1"/>
  <c r="F25" i="22"/>
  <c r="I22" i="22"/>
  <c r="I76" i="22"/>
  <c r="H81" i="22"/>
  <c r="I81" i="22" s="1"/>
  <c r="G81" i="22"/>
  <c r="D81" i="22" s="1"/>
  <c r="D74" i="22"/>
  <c r="E74" i="22" s="1"/>
  <c r="I6" i="23"/>
  <c r="H5" i="23"/>
  <c r="D51" i="22"/>
  <c r="F13" i="22"/>
  <c r="G37" i="22"/>
  <c r="D37" i="22" s="1"/>
  <c r="D9" i="22"/>
  <c r="E9" i="22" s="1"/>
  <c r="H13" i="22"/>
  <c r="D19" i="22"/>
  <c r="E19" i="22" s="1"/>
  <c r="D32" i="22"/>
  <c r="E32" i="22" s="1"/>
  <c r="D59" i="22"/>
  <c r="E59" i="22" s="1"/>
  <c r="D75" i="22"/>
  <c r="E75" i="22" s="1"/>
  <c r="I6" i="22"/>
  <c r="I19" i="22"/>
  <c r="I21" i="22"/>
  <c r="D29" i="22"/>
  <c r="E29" i="22" s="1"/>
  <c r="I34" i="22"/>
  <c r="I43" i="22"/>
  <c r="I45" i="22"/>
  <c r="I47" i="22"/>
  <c r="D63" i="22"/>
  <c r="E63" i="22" s="1"/>
  <c r="I73" i="22"/>
  <c r="I85" i="22"/>
  <c r="I87" i="22"/>
  <c r="I89" i="22"/>
  <c r="F93" i="22"/>
  <c r="D96" i="22"/>
  <c r="E96" i="22" s="1"/>
  <c r="D101" i="22"/>
  <c r="E101" i="22" s="1"/>
  <c r="D104" i="22"/>
  <c r="I113" i="22"/>
  <c r="I115" i="22"/>
  <c r="D128" i="22"/>
  <c r="E128" i="22" s="1"/>
  <c r="D130" i="22"/>
  <c r="E130" i="22" s="1"/>
  <c r="D132" i="22"/>
  <c r="E132" i="22" s="1"/>
  <c r="D117" i="22"/>
  <c r="E117" i="22" s="1"/>
  <c r="D137" i="22"/>
  <c r="E137" i="22" s="1"/>
  <c r="D139" i="22"/>
  <c r="E139" i="22" s="1"/>
  <c r="D141" i="22"/>
  <c r="E141" i="22" s="1"/>
  <c r="D50" i="22"/>
  <c r="D61" i="22"/>
  <c r="D80" i="22"/>
  <c r="I96" i="22"/>
  <c r="F120" i="22"/>
  <c r="G25" i="22"/>
  <c r="I30" i="22"/>
  <c r="I33" i="22"/>
  <c r="F9" i="21"/>
  <c r="E9" i="21"/>
  <c r="D9" i="21"/>
  <c r="F7" i="21"/>
  <c r="E7" i="21"/>
  <c r="D7" i="21"/>
  <c r="F5" i="21"/>
  <c r="E5" i="21"/>
  <c r="D5" i="21"/>
  <c r="F8" i="21"/>
  <c r="E8" i="21"/>
  <c r="D8" i="21"/>
  <c r="F12" i="21"/>
  <c r="E12" i="21"/>
  <c r="D12" i="21"/>
  <c r="F14" i="21"/>
  <c r="E14" i="21"/>
  <c r="D14" i="21"/>
  <c r="F6" i="21"/>
  <c r="E6" i="21"/>
  <c r="D6" i="21"/>
  <c r="F10" i="21"/>
  <c r="E10" i="21"/>
  <c r="D10" i="21"/>
  <c r="F11" i="21"/>
  <c r="E11" i="21"/>
  <c r="D11" i="21"/>
  <c r="F13" i="21"/>
  <c r="E13" i="21"/>
  <c r="D13" i="21"/>
  <c r="H91" i="20"/>
  <c r="G91" i="20"/>
  <c r="F91" i="20"/>
  <c r="D91" i="20" s="1"/>
  <c r="H90" i="20"/>
  <c r="G90" i="20"/>
  <c r="D90" i="20" s="1"/>
  <c r="E90" i="20" s="1"/>
  <c r="F90" i="20"/>
  <c r="H89" i="20"/>
  <c r="G89" i="20"/>
  <c r="F89" i="20"/>
  <c r="H87" i="20"/>
  <c r="G87" i="20"/>
  <c r="F87" i="20"/>
  <c r="H85" i="20"/>
  <c r="G85" i="20"/>
  <c r="F85" i="20"/>
  <c r="H45" i="20"/>
  <c r="G45" i="20"/>
  <c r="F45" i="20"/>
  <c r="H44" i="20"/>
  <c r="G44" i="20"/>
  <c r="F44" i="20"/>
  <c r="H42" i="20"/>
  <c r="G42" i="20"/>
  <c r="F42" i="20"/>
  <c r="H43" i="20"/>
  <c r="G43" i="20"/>
  <c r="F43" i="20"/>
  <c r="H115" i="20"/>
  <c r="G115" i="20"/>
  <c r="F115" i="20"/>
  <c r="H114" i="20"/>
  <c r="G114" i="20"/>
  <c r="F114" i="20"/>
  <c r="H113" i="20"/>
  <c r="G113" i="20"/>
  <c r="F113" i="20"/>
  <c r="H112" i="20"/>
  <c r="G112" i="20"/>
  <c r="F112" i="20"/>
  <c r="H34" i="20"/>
  <c r="G34" i="20"/>
  <c r="F34" i="20"/>
  <c r="H33" i="20"/>
  <c r="G33" i="20"/>
  <c r="F33" i="20"/>
  <c r="H32" i="20"/>
  <c r="G32" i="20"/>
  <c r="F32" i="20"/>
  <c r="H29" i="20"/>
  <c r="G29" i="20"/>
  <c r="F29" i="20"/>
  <c r="H100" i="20"/>
  <c r="I100" i="20" s="1"/>
  <c r="G100" i="20"/>
  <c r="F100" i="20"/>
  <c r="H101" i="20"/>
  <c r="G101" i="20"/>
  <c r="F101" i="20"/>
  <c r="H99" i="20"/>
  <c r="G99" i="20"/>
  <c r="F99" i="20"/>
  <c r="H104" i="20"/>
  <c r="G104" i="20"/>
  <c r="F104" i="20"/>
  <c r="H17" i="20"/>
  <c r="G17" i="20"/>
  <c r="F17" i="20"/>
  <c r="H22" i="20"/>
  <c r="G22" i="20"/>
  <c r="F22" i="20"/>
  <c r="H20" i="20"/>
  <c r="G20" i="20"/>
  <c r="F20" i="20"/>
  <c r="H19" i="20"/>
  <c r="G19" i="20"/>
  <c r="F19" i="20"/>
  <c r="H63" i="20"/>
  <c r="G63" i="20"/>
  <c r="F63" i="20"/>
  <c r="H62" i="20"/>
  <c r="G62" i="20"/>
  <c r="F62" i="20"/>
  <c r="H61" i="20"/>
  <c r="G61" i="20"/>
  <c r="F61" i="20"/>
  <c r="I61" i="20" s="1"/>
  <c r="H59" i="20"/>
  <c r="G59" i="20"/>
  <c r="F59" i="20"/>
  <c r="H76" i="20"/>
  <c r="I76" i="20" s="1"/>
  <c r="G76" i="20"/>
  <c r="F76" i="20"/>
  <c r="D76" i="20" s="1"/>
  <c r="E76" i="20" s="1"/>
  <c r="H75" i="20"/>
  <c r="G75" i="20"/>
  <c r="F75" i="20"/>
  <c r="H74" i="20"/>
  <c r="G74" i="20"/>
  <c r="D74" i="20" s="1"/>
  <c r="E74" i="20" s="1"/>
  <c r="F74" i="20"/>
  <c r="H80" i="20"/>
  <c r="G80" i="20"/>
  <c r="F80" i="20"/>
  <c r="H5" i="20"/>
  <c r="G5" i="20"/>
  <c r="F5" i="20"/>
  <c r="H8" i="20"/>
  <c r="G8" i="20"/>
  <c r="F8" i="20"/>
  <c r="H10" i="20"/>
  <c r="G10" i="20"/>
  <c r="F10" i="20"/>
  <c r="H6" i="20"/>
  <c r="G6" i="20"/>
  <c r="F6" i="20"/>
  <c r="I33" i="21"/>
  <c r="F33" i="21"/>
  <c r="G33" i="21" s="1"/>
  <c r="E33" i="21"/>
  <c r="H33" i="21" s="1"/>
  <c r="H29" i="21"/>
  <c r="G29" i="21"/>
  <c r="H26" i="21"/>
  <c r="G26" i="21"/>
  <c r="H27" i="21"/>
  <c r="G27" i="21"/>
  <c r="H21" i="21"/>
  <c r="G21" i="21"/>
  <c r="H28" i="21"/>
  <c r="G28" i="21"/>
  <c r="H25" i="21"/>
  <c r="G25" i="21"/>
  <c r="H30" i="21"/>
  <c r="G30" i="21"/>
  <c r="H22" i="21"/>
  <c r="G22" i="21"/>
  <c r="H24" i="21"/>
  <c r="G24" i="21"/>
  <c r="H23" i="21"/>
  <c r="G23" i="21"/>
  <c r="H19" i="21"/>
  <c r="E19" i="21"/>
  <c r="G15" i="21"/>
  <c r="I5" i="21"/>
  <c r="H142" i="20"/>
  <c r="I142" i="20" s="1"/>
  <c r="G142" i="20"/>
  <c r="D142" i="20" s="1"/>
  <c r="E142" i="20" s="1"/>
  <c r="F142" i="20"/>
  <c r="I141" i="20"/>
  <c r="H141" i="20"/>
  <c r="G141" i="20"/>
  <c r="F141" i="20"/>
  <c r="D141" i="20" s="1"/>
  <c r="E141" i="20" s="1"/>
  <c r="H140" i="20"/>
  <c r="I140" i="20" s="1"/>
  <c r="G140" i="20"/>
  <c r="D140" i="20" s="1"/>
  <c r="E140" i="20" s="1"/>
  <c r="F140" i="20"/>
  <c r="I139" i="20"/>
  <c r="H139" i="20"/>
  <c r="G139" i="20"/>
  <c r="F139" i="20"/>
  <c r="D139" i="20" s="1"/>
  <c r="E139" i="20" s="1"/>
  <c r="H138" i="20"/>
  <c r="I138" i="20" s="1"/>
  <c r="G138" i="20"/>
  <c r="D138" i="20" s="1"/>
  <c r="E138" i="20" s="1"/>
  <c r="F138" i="20"/>
  <c r="I137" i="20"/>
  <c r="H137" i="20"/>
  <c r="G137" i="20"/>
  <c r="F137" i="20"/>
  <c r="D137" i="20" s="1"/>
  <c r="E137" i="20" s="1"/>
  <c r="H135" i="20"/>
  <c r="I135" i="20" s="1"/>
  <c r="G135" i="20"/>
  <c r="D135" i="20" s="1"/>
  <c r="E135" i="20" s="1"/>
  <c r="F135" i="20"/>
  <c r="I134" i="20"/>
  <c r="H134" i="20"/>
  <c r="G134" i="20"/>
  <c r="F134" i="20"/>
  <c r="D134" i="20" s="1"/>
  <c r="E134" i="20" s="1"/>
  <c r="H133" i="20"/>
  <c r="I133" i="20" s="1"/>
  <c r="G133" i="20"/>
  <c r="D133" i="20" s="1"/>
  <c r="E133" i="20" s="1"/>
  <c r="F133" i="20"/>
  <c r="I132" i="20"/>
  <c r="H132" i="20"/>
  <c r="G132" i="20"/>
  <c r="F132" i="20"/>
  <c r="D132" i="20" s="1"/>
  <c r="E132" i="20" s="1"/>
  <c r="H131" i="20"/>
  <c r="I131" i="20" s="1"/>
  <c r="G131" i="20"/>
  <c r="D131" i="20" s="1"/>
  <c r="E131" i="20" s="1"/>
  <c r="F131" i="20"/>
  <c r="I130" i="20"/>
  <c r="H130" i="20"/>
  <c r="G130" i="20"/>
  <c r="F130" i="20"/>
  <c r="D130" i="20" s="1"/>
  <c r="E130" i="20" s="1"/>
  <c r="H129" i="20"/>
  <c r="I129" i="20" s="1"/>
  <c r="G129" i="20"/>
  <c r="D129" i="20" s="1"/>
  <c r="E129" i="20" s="1"/>
  <c r="F129" i="20"/>
  <c r="I128" i="20"/>
  <c r="H128" i="20"/>
  <c r="G128" i="20"/>
  <c r="F128" i="20"/>
  <c r="D128" i="20" s="1"/>
  <c r="E128" i="20" s="1"/>
  <c r="H119" i="20"/>
  <c r="I119" i="20" s="1"/>
  <c r="G119" i="20"/>
  <c r="D119" i="20" s="1"/>
  <c r="F119" i="20"/>
  <c r="H116" i="20"/>
  <c r="I116" i="20" s="1"/>
  <c r="G116" i="20"/>
  <c r="F116" i="20"/>
  <c r="D116" i="20"/>
  <c r="E116" i="20" s="1"/>
  <c r="D115" i="20"/>
  <c r="E115" i="20" s="1"/>
  <c r="I114" i="20"/>
  <c r="D114" i="20"/>
  <c r="E114" i="20" s="1"/>
  <c r="I104" i="20"/>
  <c r="H102" i="20"/>
  <c r="G102" i="20"/>
  <c r="D102" i="20" s="1"/>
  <c r="E102" i="20" s="1"/>
  <c r="F102" i="20"/>
  <c r="I102" i="20" s="1"/>
  <c r="I101" i="20"/>
  <c r="D100" i="20"/>
  <c r="E100" i="20" s="1"/>
  <c r="D99" i="20"/>
  <c r="E99" i="20" s="1"/>
  <c r="H98" i="20"/>
  <c r="G98" i="20"/>
  <c r="F98" i="20"/>
  <c r="D98" i="20" s="1"/>
  <c r="E98" i="20" s="1"/>
  <c r="H97" i="20"/>
  <c r="G97" i="20"/>
  <c r="D97" i="20" s="1"/>
  <c r="E97" i="20" s="1"/>
  <c r="F97" i="20"/>
  <c r="I97" i="20" s="1"/>
  <c r="I96" i="20"/>
  <c r="H96" i="20"/>
  <c r="J107" i="20" s="1"/>
  <c r="G96" i="20"/>
  <c r="I107" i="20" s="1"/>
  <c r="F96" i="20"/>
  <c r="H107" i="20" s="1"/>
  <c r="D89" i="20"/>
  <c r="E89" i="20" s="1"/>
  <c r="H88" i="20"/>
  <c r="I88" i="20" s="1"/>
  <c r="G88" i="20"/>
  <c r="F88" i="20"/>
  <c r="D88" i="20"/>
  <c r="E88" i="20" s="1"/>
  <c r="D87" i="20"/>
  <c r="E87" i="20" s="1"/>
  <c r="H86" i="20"/>
  <c r="H93" i="20" s="1"/>
  <c r="G86" i="20"/>
  <c r="F86" i="20"/>
  <c r="D86" i="20"/>
  <c r="E86" i="20" s="1"/>
  <c r="D85" i="20"/>
  <c r="E85" i="20" s="1"/>
  <c r="I80" i="20"/>
  <c r="D80" i="20"/>
  <c r="O78" i="20"/>
  <c r="H78" i="20"/>
  <c r="G78" i="20"/>
  <c r="D78" i="20" s="1"/>
  <c r="E78" i="20" s="1"/>
  <c r="F78" i="20"/>
  <c r="I78" i="20" s="1"/>
  <c r="R77" i="20"/>
  <c r="Q77" i="20"/>
  <c r="P77" i="20"/>
  <c r="D75" i="20"/>
  <c r="E75" i="20" s="1"/>
  <c r="I74" i="20"/>
  <c r="H73" i="20"/>
  <c r="G73" i="20"/>
  <c r="F73" i="20"/>
  <c r="D73" i="20" s="1"/>
  <c r="E73" i="20" s="1"/>
  <c r="H72" i="20"/>
  <c r="I72" i="20" s="1"/>
  <c r="G72" i="20"/>
  <c r="F72" i="20"/>
  <c r="F81" i="20" s="1"/>
  <c r="D72" i="20"/>
  <c r="E72" i="20" s="1"/>
  <c r="H67" i="20"/>
  <c r="G67" i="20"/>
  <c r="F67" i="20"/>
  <c r="H66" i="20"/>
  <c r="G66" i="20"/>
  <c r="F66" i="20"/>
  <c r="I63" i="20"/>
  <c r="D63" i="20"/>
  <c r="E63" i="20" s="1"/>
  <c r="D62" i="20"/>
  <c r="E62" i="20" s="1"/>
  <c r="I62" i="20"/>
  <c r="D61" i="20"/>
  <c r="H60" i="20"/>
  <c r="G60" i="20"/>
  <c r="F60" i="20"/>
  <c r="I60" i="20" s="1"/>
  <c r="D59" i="20"/>
  <c r="E59" i="20" s="1"/>
  <c r="I50" i="20"/>
  <c r="H50" i="20"/>
  <c r="G50" i="20"/>
  <c r="F50" i="20"/>
  <c r="D50" i="20"/>
  <c r="H47" i="20"/>
  <c r="G47" i="20"/>
  <c r="F47" i="20"/>
  <c r="D47" i="20" s="1"/>
  <c r="E47" i="20" s="1"/>
  <c r="H46" i="20"/>
  <c r="I46" i="20" s="1"/>
  <c r="G46" i="20"/>
  <c r="F46" i="20"/>
  <c r="D46" i="20"/>
  <c r="E46" i="20" s="1"/>
  <c r="D45" i="20"/>
  <c r="E45" i="20" s="1"/>
  <c r="I44" i="20"/>
  <c r="D44" i="20"/>
  <c r="E44" i="20" s="1"/>
  <c r="D43" i="20"/>
  <c r="E43" i="20" s="1"/>
  <c r="I42" i="20"/>
  <c r="D42" i="20"/>
  <c r="E42" i="20" s="1"/>
  <c r="H35" i="20"/>
  <c r="G35" i="20"/>
  <c r="F35" i="20"/>
  <c r="D34" i="20"/>
  <c r="E34" i="20" s="1"/>
  <c r="D33" i="20"/>
  <c r="E33" i="20" s="1"/>
  <c r="D32" i="20"/>
  <c r="E32" i="20" s="1"/>
  <c r="I31" i="20"/>
  <c r="G31" i="20"/>
  <c r="F31" i="20"/>
  <c r="D31" i="20" s="1"/>
  <c r="H30" i="20"/>
  <c r="I30" i="20" s="1"/>
  <c r="G30" i="20"/>
  <c r="F30" i="20"/>
  <c r="D30" i="20"/>
  <c r="I29" i="20"/>
  <c r="H37" i="20"/>
  <c r="D29" i="20"/>
  <c r="E29" i="20" s="1"/>
  <c r="H23" i="20"/>
  <c r="G23" i="20"/>
  <c r="F23" i="20"/>
  <c r="I23" i="20" s="1"/>
  <c r="I22" i="20"/>
  <c r="D22" i="20"/>
  <c r="E22" i="20" s="1"/>
  <c r="H21" i="20"/>
  <c r="G21" i="20"/>
  <c r="F21" i="20"/>
  <c r="D21" i="20" s="1"/>
  <c r="E21" i="20" s="1"/>
  <c r="I20" i="20"/>
  <c r="D20" i="20"/>
  <c r="E20" i="20" s="1"/>
  <c r="D19" i="20"/>
  <c r="E19" i="20" s="1"/>
  <c r="H18" i="20"/>
  <c r="G18" i="20"/>
  <c r="G25" i="20" s="1"/>
  <c r="F18" i="20"/>
  <c r="H25" i="20"/>
  <c r="D17" i="20"/>
  <c r="E17" i="20" s="1"/>
  <c r="H11" i="20"/>
  <c r="G11" i="20"/>
  <c r="D11" i="20" s="1"/>
  <c r="F11" i="20"/>
  <c r="I11" i="20" s="1"/>
  <c r="D10" i="20"/>
  <c r="E10" i="20" s="1"/>
  <c r="H9" i="20"/>
  <c r="G9" i="20"/>
  <c r="F9" i="20"/>
  <c r="D9" i="20" s="1"/>
  <c r="E9" i="20" s="1"/>
  <c r="I8" i="20"/>
  <c r="D8" i="20"/>
  <c r="E8" i="20" s="1"/>
  <c r="G13" i="20"/>
  <c r="D6" i="20"/>
  <c r="E6" i="20" s="1"/>
  <c r="D5" i="20"/>
  <c r="E5" i="20" s="1"/>
  <c r="H7" i="27" l="1"/>
  <c r="I9" i="27"/>
  <c r="G7" i="27"/>
  <c r="I8" i="25"/>
  <c r="H7" i="25"/>
  <c r="G7" i="25"/>
  <c r="I9" i="23"/>
  <c r="H6" i="23"/>
  <c r="D25" i="22"/>
  <c r="I7" i="23"/>
  <c r="I8" i="23" s="1"/>
  <c r="G9" i="23"/>
  <c r="H9" i="23"/>
  <c r="G6" i="23"/>
  <c r="I68" i="22"/>
  <c r="D68" i="22"/>
  <c r="I13" i="22"/>
  <c r="D13" i="22"/>
  <c r="I93" i="22"/>
  <c r="D93" i="22"/>
  <c r="F15" i="21"/>
  <c r="E15" i="21"/>
  <c r="H15" i="21" s="1"/>
  <c r="G5" i="21"/>
  <c r="I90" i="20"/>
  <c r="G93" i="20"/>
  <c r="F51" i="20"/>
  <c r="G51" i="20"/>
  <c r="D113" i="20"/>
  <c r="E113" i="20" s="1"/>
  <c r="G37" i="20"/>
  <c r="D101" i="20"/>
  <c r="E101" i="20" s="1"/>
  <c r="K107" i="20"/>
  <c r="G81" i="20"/>
  <c r="I10" i="20"/>
  <c r="H13" i="20"/>
  <c r="I6" i="21"/>
  <c r="H5" i="21"/>
  <c r="D81" i="20"/>
  <c r="I6" i="20"/>
  <c r="I9" i="20"/>
  <c r="I19" i="20"/>
  <c r="I21" i="20"/>
  <c r="I32" i="20"/>
  <c r="I34" i="20"/>
  <c r="I43" i="20"/>
  <c r="I45" i="20"/>
  <c r="I47" i="20"/>
  <c r="I59" i="20"/>
  <c r="I73" i="20"/>
  <c r="I75" i="20"/>
  <c r="I85" i="20"/>
  <c r="I87" i="20"/>
  <c r="I89" i="20"/>
  <c r="F93" i="20"/>
  <c r="D96" i="20"/>
  <c r="E96" i="20" s="1"/>
  <c r="D104" i="20"/>
  <c r="I113" i="20"/>
  <c r="I115" i="20"/>
  <c r="H51" i="20"/>
  <c r="H68" i="20" s="1"/>
  <c r="H81" i="20"/>
  <c r="I81" i="20" s="1"/>
  <c r="F120" i="20"/>
  <c r="D18" i="20"/>
  <c r="E18" i="20" s="1"/>
  <c r="I33" i="20"/>
  <c r="I86" i="20"/>
  <c r="D112" i="20"/>
  <c r="E112" i="20" s="1"/>
  <c r="F13" i="20"/>
  <c r="F25" i="20"/>
  <c r="D25" i="20" s="1"/>
  <c r="F37" i="20"/>
  <c r="I5" i="20"/>
  <c r="D23" i="20"/>
  <c r="H17" i="18"/>
  <c r="G17" i="18"/>
  <c r="F17" i="18"/>
  <c r="H30" i="18"/>
  <c r="G30" i="18"/>
  <c r="I10" i="27" l="1"/>
  <c r="G11" i="27"/>
  <c r="H11" i="27"/>
  <c r="I9" i="25"/>
  <c r="H8" i="25"/>
  <c r="G8" i="25"/>
  <c r="G8" i="23"/>
  <c r="H8" i="23"/>
  <c r="H7" i="23"/>
  <c r="G7" i="23"/>
  <c r="D51" i="20"/>
  <c r="G68" i="20"/>
  <c r="I51" i="20"/>
  <c r="G6" i="21"/>
  <c r="H6" i="21"/>
  <c r="I7" i="21"/>
  <c r="I37" i="20"/>
  <c r="D37" i="20"/>
  <c r="I13" i="20"/>
  <c r="D13" i="20"/>
  <c r="I93" i="20"/>
  <c r="D93" i="20"/>
  <c r="F107" i="20"/>
  <c r="F68" i="20"/>
  <c r="F6" i="19"/>
  <c r="E6" i="19"/>
  <c r="D6" i="19"/>
  <c r="F12" i="19"/>
  <c r="E12" i="19"/>
  <c r="D12" i="19"/>
  <c r="F11" i="19"/>
  <c r="E11" i="19"/>
  <c r="D11" i="19"/>
  <c r="F10" i="19"/>
  <c r="E10" i="19"/>
  <c r="D10" i="19"/>
  <c r="F13" i="19"/>
  <c r="E13" i="19"/>
  <c r="D13" i="19"/>
  <c r="F8" i="19"/>
  <c r="E8" i="19"/>
  <c r="D8" i="19"/>
  <c r="F5" i="19"/>
  <c r="E5" i="19"/>
  <c r="D5" i="19"/>
  <c r="F14" i="19"/>
  <c r="E14" i="19"/>
  <c r="D14" i="19"/>
  <c r="F9" i="19"/>
  <c r="E9" i="19"/>
  <c r="D9" i="19"/>
  <c r="F7" i="19"/>
  <c r="E7" i="19"/>
  <c r="D7" i="19"/>
  <c r="H76" i="18"/>
  <c r="G76" i="18"/>
  <c r="F76" i="18"/>
  <c r="H75" i="18"/>
  <c r="G75" i="18"/>
  <c r="F75" i="18"/>
  <c r="D75" i="18" s="1"/>
  <c r="E75" i="18" s="1"/>
  <c r="H73" i="18"/>
  <c r="G73" i="18"/>
  <c r="F73" i="18"/>
  <c r="H72" i="18"/>
  <c r="G72" i="18"/>
  <c r="F72" i="18"/>
  <c r="F81" i="18" s="1"/>
  <c r="H66" i="18"/>
  <c r="G66" i="18"/>
  <c r="F66" i="18"/>
  <c r="H63" i="18"/>
  <c r="G63" i="18"/>
  <c r="F63" i="18"/>
  <c r="H61" i="18"/>
  <c r="G61" i="18"/>
  <c r="F61" i="18"/>
  <c r="I61" i="18" s="1"/>
  <c r="H59" i="18"/>
  <c r="G59" i="18"/>
  <c r="F59" i="18"/>
  <c r="H90" i="18"/>
  <c r="G90" i="18"/>
  <c r="F90" i="18"/>
  <c r="H89" i="18"/>
  <c r="G89" i="18"/>
  <c r="F89" i="18"/>
  <c r="H86" i="18"/>
  <c r="G86" i="18"/>
  <c r="F86" i="18"/>
  <c r="H85" i="18"/>
  <c r="G85" i="18"/>
  <c r="F85" i="18"/>
  <c r="H100" i="18"/>
  <c r="G100" i="18"/>
  <c r="F100" i="18"/>
  <c r="H102" i="18"/>
  <c r="I102" i="18" s="1"/>
  <c r="G102" i="18"/>
  <c r="D102" i="18" s="1"/>
  <c r="E102" i="18" s="1"/>
  <c r="F102" i="18"/>
  <c r="H98" i="18"/>
  <c r="G98" i="18"/>
  <c r="F98" i="18"/>
  <c r="H96" i="18"/>
  <c r="G96" i="18"/>
  <c r="F96" i="18"/>
  <c r="H45" i="18"/>
  <c r="I45" i="18" s="1"/>
  <c r="G45" i="18"/>
  <c r="F45" i="18"/>
  <c r="H42" i="18"/>
  <c r="G42" i="18"/>
  <c r="F42" i="18"/>
  <c r="I42" i="18" s="1"/>
  <c r="H46" i="18"/>
  <c r="G46" i="18"/>
  <c r="F46" i="18"/>
  <c r="H43" i="18"/>
  <c r="I43" i="18" s="1"/>
  <c r="G43" i="18"/>
  <c r="F43" i="18"/>
  <c r="D43" i="18" s="1"/>
  <c r="E43" i="18" s="1"/>
  <c r="H115" i="18"/>
  <c r="G115" i="18"/>
  <c r="F115" i="18"/>
  <c r="H114" i="18"/>
  <c r="G114" i="18"/>
  <c r="F114" i="18"/>
  <c r="H113" i="18"/>
  <c r="G113" i="18"/>
  <c r="F113" i="18"/>
  <c r="D113" i="18" s="1"/>
  <c r="E113" i="18" s="1"/>
  <c r="H112" i="18"/>
  <c r="G112" i="18"/>
  <c r="F112" i="18"/>
  <c r="H22" i="18"/>
  <c r="G22" i="18"/>
  <c r="F22" i="18"/>
  <c r="H20" i="18"/>
  <c r="G20" i="18"/>
  <c r="F20" i="18"/>
  <c r="H19" i="18"/>
  <c r="G19" i="18"/>
  <c r="F19" i="18"/>
  <c r="D19" i="18" s="1"/>
  <c r="E19" i="18" s="1"/>
  <c r="H5" i="18"/>
  <c r="G5" i="18"/>
  <c r="F5" i="18"/>
  <c r="H8" i="18"/>
  <c r="G8" i="18"/>
  <c r="F8" i="18"/>
  <c r="H6" i="18"/>
  <c r="G6" i="18"/>
  <c r="F6" i="18"/>
  <c r="H9" i="18"/>
  <c r="G9" i="18"/>
  <c r="F9" i="18"/>
  <c r="H32" i="18"/>
  <c r="G32" i="18"/>
  <c r="F32" i="18"/>
  <c r="G31" i="18"/>
  <c r="F31" i="18"/>
  <c r="D31" i="18" s="1"/>
  <c r="F30" i="18"/>
  <c r="H29" i="18"/>
  <c r="G29" i="18"/>
  <c r="F29" i="18"/>
  <c r="I33" i="19"/>
  <c r="H33" i="19"/>
  <c r="G33" i="19"/>
  <c r="F33" i="19"/>
  <c r="E33" i="19"/>
  <c r="H27" i="19"/>
  <c r="G27" i="19"/>
  <c r="H23" i="19"/>
  <c r="G23" i="19"/>
  <c r="H24" i="19"/>
  <c r="G24" i="19"/>
  <c r="H30" i="19"/>
  <c r="G30" i="19"/>
  <c r="H25" i="19"/>
  <c r="G25" i="19"/>
  <c r="H26" i="19"/>
  <c r="G26" i="19"/>
  <c r="H22" i="19"/>
  <c r="G22" i="19"/>
  <c r="H29" i="19"/>
  <c r="G29" i="19"/>
  <c r="H28" i="19"/>
  <c r="G28" i="19"/>
  <c r="H21" i="19"/>
  <c r="G21" i="19"/>
  <c r="H19" i="19"/>
  <c r="E19" i="19"/>
  <c r="G15" i="19"/>
  <c r="I5" i="19"/>
  <c r="E15" i="19"/>
  <c r="H15" i="19" s="1"/>
  <c r="H142" i="18"/>
  <c r="I142" i="18" s="1"/>
  <c r="G142" i="18"/>
  <c r="F142" i="18"/>
  <c r="D142" i="18"/>
  <c r="E142" i="18" s="1"/>
  <c r="H141" i="18"/>
  <c r="G141" i="18"/>
  <c r="F141" i="18"/>
  <c r="I141" i="18" s="1"/>
  <c r="H140" i="18"/>
  <c r="I140" i="18" s="1"/>
  <c r="G140" i="18"/>
  <c r="F140" i="18"/>
  <c r="D140" i="18"/>
  <c r="E140" i="18" s="1"/>
  <c r="H139" i="18"/>
  <c r="G139" i="18"/>
  <c r="F139" i="18"/>
  <c r="I139" i="18" s="1"/>
  <c r="H138" i="18"/>
  <c r="I138" i="18" s="1"/>
  <c r="G138" i="18"/>
  <c r="F138" i="18"/>
  <c r="D138" i="18"/>
  <c r="E138" i="18" s="1"/>
  <c r="H137" i="18"/>
  <c r="G137" i="18"/>
  <c r="F137" i="18"/>
  <c r="I137" i="18" s="1"/>
  <c r="H135" i="18"/>
  <c r="I135" i="18" s="1"/>
  <c r="G135" i="18"/>
  <c r="F135" i="18"/>
  <c r="D135" i="18"/>
  <c r="E135" i="18" s="1"/>
  <c r="H134" i="18"/>
  <c r="G134" i="18"/>
  <c r="F134" i="18"/>
  <c r="I134" i="18" s="1"/>
  <c r="H133" i="18"/>
  <c r="I133" i="18" s="1"/>
  <c r="G133" i="18"/>
  <c r="F133" i="18"/>
  <c r="D133" i="18"/>
  <c r="E133" i="18" s="1"/>
  <c r="H132" i="18"/>
  <c r="G132" i="18"/>
  <c r="F132" i="18"/>
  <c r="I132" i="18" s="1"/>
  <c r="H131" i="18"/>
  <c r="I131" i="18" s="1"/>
  <c r="G131" i="18"/>
  <c r="F131" i="18"/>
  <c r="D131" i="18"/>
  <c r="E131" i="18" s="1"/>
  <c r="H130" i="18"/>
  <c r="G130" i="18"/>
  <c r="F130" i="18"/>
  <c r="I130" i="18" s="1"/>
  <c r="H129" i="18"/>
  <c r="I129" i="18" s="1"/>
  <c r="G129" i="18"/>
  <c r="F129" i="18"/>
  <c r="D129" i="18"/>
  <c r="E129" i="18" s="1"/>
  <c r="H128" i="18"/>
  <c r="G128" i="18"/>
  <c r="F128" i="18"/>
  <c r="I128" i="18" s="1"/>
  <c r="H119" i="18"/>
  <c r="I119" i="18" s="1"/>
  <c r="G119" i="18"/>
  <c r="D119" i="18" s="1"/>
  <c r="F119" i="18"/>
  <c r="I116" i="18"/>
  <c r="H116" i="18"/>
  <c r="G116" i="18"/>
  <c r="F116" i="18"/>
  <c r="E116" i="18"/>
  <c r="D116" i="18"/>
  <c r="D115" i="18"/>
  <c r="E115" i="18" s="1"/>
  <c r="I114" i="18"/>
  <c r="D114" i="18"/>
  <c r="E114" i="18" s="1"/>
  <c r="H104" i="18"/>
  <c r="G104" i="18"/>
  <c r="F104" i="18"/>
  <c r="I104" i="18" s="1"/>
  <c r="H101" i="18"/>
  <c r="G101" i="18"/>
  <c r="F101" i="18"/>
  <c r="I101" i="18" s="1"/>
  <c r="I100" i="18"/>
  <c r="D100" i="18"/>
  <c r="E100" i="18" s="1"/>
  <c r="H99" i="18"/>
  <c r="G99" i="18"/>
  <c r="F99" i="18"/>
  <c r="E99" i="18"/>
  <c r="D99" i="18"/>
  <c r="D98" i="18"/>
  <c r="E98" i="18" s="1"/>
  <c r="H97" i="18"/>
  <c r="I97" i="18" s="1"/>
  <c r="G97" i="18"/>
  <c r="F97" i="18"/>
  <c r="D97" i="18"/>
  <c r="E97" i="18" s="1"/>
  <c r="J107" i="18"/>
  <c r="H91" i="18"/>
  <c r="G91" i="18"/>
  <c r="D91" i="18" s="1"/>
  <c r="F91" i="18"/>
  <c r="D90" i="18"/>
  <c r="E90" i="18" s="1"/>
  <c r="D89" i="18"/>
  <c r="E89" i="18" s="1"/>
  <c r="I88" i="18"/>
  <c r="H88" i="18"/>
  <c r="G88" i="18"/>
  <c r="F88" i="18"/>
  <c r="E88" i="18"/>
  <c r="D88" i="18"/>
  <c r="H87" i="18"/>
  <c r="G87" i="18"/>
  <c r="F87" i="18"/>
  <c r="D87" i="18" s="1"/>
  <c r="E87" i="18" s="1"/>
  <c r="I86" i="18"/>
  <c r="E86" i="18"/>
  <c r="D86" i="18"/>
  <c r="G93" i="18"/>
  <c r="D85" i="18"/>
  <c r="E85" i="18" s="1"/>
  <c r="H80" i="18"/>
  <c r="G80" i="18"/>
  <c r="F80" i="18"/>
  <c r="I80" i="18" s="1"/>
  <c r="O78" i="18"/>
  <c r="H78" i="18"/>
  <c r="I78" i="18" s="1"/>
  <c r="G78" i="18"/>
  <c r="F78" i="18"/>
  <c r="D78" i="18"/>
  <c r="E78" i="18" s="1"/>
  <c r="R77" i="18"/>
  <c r="Q77" i="18"/>
  <c r="P77" i="18"/>
  <c r="I76" i="18"/>
  <c r="D76" i="18"/>
  <c r="E76" i="18" s="1"/>
  <c r="I74" i="18"/>
  <c r="H74" i="18"/>
  <c r="G74" i="18"/>
  <c r="F74" i="18"/>
  <c r="E74" i="18"/>
  <c r="D74" i="18"/>
  <c r="I73" i="18"/>
  <c r="H81" i="18"/>
  <c r="D72" i="18"/>
  <c r="E72" i="18" s="1"/>
  <c r="H67" i="18"/>
  <c r="G67" i="18"/>
  <c r="F67" i="18"/>
  <c r="D63" i="18"/>
  <c r="E63" i="18" s="1"/>
  <c r="I62" i="18"/>
  <c r="H62" i="18"/>
  <c r="G62" i="18"/>
  <c r="F62" i="18"/>
  <c r="E62" i="18"/>
  <c r="D62" i="18"/>
  <c r="H60" i="18"/>
  <c r="I60" i="18" s="1"/>
  <c r="G60" i="18"/>
  <c r="F60" i="18"/>
  <c r="D59" i="18"/>
  <c r="E59" i="18" s="1"/>
  <c r="H50" i="18"/>
  <c r="G50" i="18"/>
  <c r="F50" i="18"/>
  <c r="I50" i="18" s="1"/>
  <c r="H47" i="18"/>
  <c r="I47" i="18" s="1"/>
  <c r="G47" i="18"/>
  <c r="F47" i="18"/>
  <c r="D47" i="18"/>
  <c r="E47" i="18" s="1"/>
  <c r="I46" i="18"/>
  <c r="D45" i="18"/>
  <c r="E45" i="18" s="1"/>
  <c r="H44" i="18"/>
  <c r="G44" i="18"/>
  <c r="F44" i="18"/>
  <c r="I44" i="18" s="1"/>
  <c r="G51" i="18"/>
  <c r="H35" i="18"/>
  <c r="G35" i="18"/>
  <c r="F35" i="18"/>
  <c r="H34" i="18"/>
  <c r="G34" i="18"/>
  <c r="F34" i="18"/>
  <c r="D34" i="18"/>
  <c r="E34" i="18" s="1"/>
  <c r="H33" i="18"/>
  <c r="G33" i="18"/>
  <c r="F33" i="18"/>
  <c r="I32" i="18"/>
  <c r="D32" i="18"/>
  <c r="E32" i="18" s="1"/>
  <c r="I31" i="18"/>
  <c r="I30" i="18"/>
  <c r="I29" i="18"/>
  <c r="G37" i="18"/>
  <c r="F37" i="18"/>
  <c r="I23" i="18"/>
  <c r="H23" i="18"/>
  <c r="G23" i="18"/>
  <c r="F23" i="18"/>
  <c r="D23" i="18"/>
  <c r="I22" i="18"/>
  <c r="H21" i="18"/>
  <c r="I21" i="18" s="1"/>
  <c r="G21" i="18"/>
  <c r="F21" i="18"/>
  <c r="D21" i="18"/>
  <c r="E21" i="18" s="1"/>
  <c r="D20" i="18"/>
  <c r="E20" i="18" s="1"/>
  <c r="I19" i="18"/>
  <c r="H18" i="18"/>
  <c r="G18" i="18"/>
  <c r="F18" i="18"/>
  <c r="D18" i="18" s="1"/>
  <c r="E18" i="18" s="1"/>
  <c r="G25" i="18"/>
  <c r="F25" i="18"/>
  <c r="I11" i="18"/>
  <c r="H11" i="18"/>
  <c r="G11" i="18"/>
  <c r="F11" i="18"/>
  <c r="D11" i="18"/>
  <c r="H10" i="18"/>
  <c r="G10" i="18"/>
  <c r="F10" i="18"/>
  <c r="I10" i="18" s="1"/>
  <c r="I9" i="18"/>
  <c r="D9" i="18"/>
  <c r="E9" i="18" s="1"/>
  <c r="D8" i="18"/>
  <c r="E8" i="18" s="1"/>
  <c r="I6" i="18"/>
  <c r="D6" i="18"/>
  <c r="E6" i="18" s="1"/>
  <c r="G13" i="18"/>
  <c r="H9" i="27" l="1"/>
  <c r="G9" i="27"/>
  <c r="I11" i="27"/>
  <c r="I10" i="25"/>
  <c r="G10" i="25"/>
  <c r="H10" i="25"/>
  <c r="I8" i="21"/>
  <c r="H8" i="21"/>
  <c r="G8" i="21"/>
  <c r="I68" i="20"/>
  <c r="D68" i="20"/>
  <c r="F15" i="19"/>
  <c r="G5" i="19"/>
  <c r="G81" i="18"/>
  <c r="I72" i="18"/>
  <c r="I59" i="18"/>
  <c r="I90" i="18"/>
  <c r="H93" i="18"/>
  <c r="I107" i="18"/>
  <c r="H107" i="18"/>
  <c r="K107" i="18" s="1"/>
  <c r="H51" i="18"/>
  <c r="D112" i="18"/>
  <c r="E112" i="18" s="1"/>
  <c r="D25" i="18"/>
  <c r="F13" i="18"/>
  <c r="D13" i="18" s="1"/>
  <c r="G68" i="18"/>
  <c r="I6" i="19"/>
  <c r="H5" i="19"/>
  <c r="D37" i="18"/>
  <c r="I81" i="18"/>
  <c r="D81" i="18"/>
  <c r="D29" i="18"/>
  <c r="E29" i="18" s="1"/>
  <c r="H37" i="18"/>
  <c r="H68" i="18" s="1"/>
  <c r="F51" i="18"/>
  <c r="F68" i="18" s="1"/>
  <c r="D10" i="18"/>
  <c r="E10" i="18" s="1"/>
  <c r="D17" i="18"/>
  <c r="E17" i="18" s="1"/>
  <c r="D22" i="18"/>
  <c r="E22" i="18" s="1"/>
  <c r="D73" i="18"/>
  <c r="E73" i="18" s="1"/>
  <c r="I5" i="18"/>
  <c r="I8" i="18"/>
  <c r="I20" i="18"/>
  <c r="D30" i="18"/>
  <c r="D33" i="18"/>
  <c r="E33" i="18" s="1"/>
  <c r="D42" i="18"/>
  <c r="E42" i="18" s="1"/>
  <c r="D44" i="18"/>
  <c r="E44" i="18" s="1"/>
  <c r="D46" i="18"/>
  <c r="E46" i="18" s="1"/>
  <c r="D50" i="18"/>
  <c r="D61" i="18"/>
  <c r="I63" i="18"/>
  <c r="I75" i="18"/>
  <c r="I85" i="18"/>
  <c r="I87" i="18"/>
  <c r="I89" i="18"/>
  <c r="F93" i="18"/>
  <c r="D96" i="18"/>
  <c r="E96" i="18" s="1"/>
  <c r="D101" i="18"/>
  <c r="E101" i="18" s="1"/>
  <c r="D104" i="18"/>
  <c r="I113" i="18"/>
  <c r="I115" i="18"/>
  <c r="D128" i="18"/>
  <c r="E128" i="18" s="1"/>
  <c r="D130" i="18"/>
  <c r="E130" i="18" s="1"/>
  <c r="D132" i="18"/>
  <c r="E132" i="18" s="1"/>
  <c r="D134" i="18"/>
  <c r="E134" i="18" s="1"/>
  <c r="D137" i="18"/>
  <c r="E137" i="18" s="1"/>
  <c r="D139" i="18"/>
  <c r="E139" i="18" s="1"/>
  <c r="D141" i="18"/>
  <c r="E141" i="18" s="1"/>
  <c r="H13" i="18"/>
  <c r="H25" i="18"/>
  <c r="I33" i="18"/>
  <c r="D80" i="18"/>
  <c r="I96" i="18"/>
  <c r="F120" i="18"/>
  <c r="D5" i="18"/>
  <c r="E5" i="18" s="1"/>
  <c r="I34" i="18"/>
  <c r="F14" i="17"/>
  <c r="E14" i="17"/>
  <c r="D14" i="17"/>
  <c r="F6" i="17"/>
  <c r="E6" i="17"/>
  <c r="D6" i="17"/>
  <c r="F5" i="17"/>
  <c r="E5" i="17"/>
  <c r="D5" i="17"/>
  <c r="F10" i="17"/>
  <c r="G10" i="17" s="1"/>
  <c r="E10" i="17"/>
  <c r="D10" i="17"/>
  <c r="D7" i="17"/>
  <c r="F7" i="17"/>
  <c r="E7" i="17"/>
  <c r="F8" i="17"/>
  <c r="E8" i="17"/>
  <c r="D8" i="17"/>
  <c r="F9" i="17"/>
  <c r="E9" i="17"/>
  <c r="D9" i="17"/>
  <c r="F12" i="17"/>
  <c r="E12" i="17"/>
  <c r="D12" i="17"/>
  <c r="F13" i="17"/>
  <c r="E13" i="17"/>
  <c r="D13" i="17"/>
  <c r="F11" i="17"/>
  <c r="E11" i="17"/>
  <c r="D11" i="17"/>
  <c r="H19" i="16"/>
  <c r="G19" i="16"/>
  <c r="F19" i="16"/>
  <c r="H17" i="16"/>
  <c r="G17" i="16"/>
  <c r="F17" i="16"/>
  <c r="H22" i="16"/>
  <c r="G22" i="16"/>
  <c r="F22" i="16"/>
  <c r="H20" i="16"/>
  <c r="G20" i="16"/>
  <c r="F20" i="16"/>
  <c r="H35" i="16"/>
  <c r="G35" i="16"/>
  <c r="G37" i="16" s="1"/>
  <c r="F35" i="16"/>
  <c r="H34" i="16"/>
  <c r="G34" i="16"/>
  <c r="F34" i="16"/>
  <c r="H33" i="16"/>
  <c r="G33" i="16"/>
  <c r="F33" i="16"/>
  <c r="H29" i="16"/>
  <c r="G29" i="16"/>
  <c r="F29" i="16"/>
  <c r="H116" i="16"/>
  <c r="G116" i="16"/>
  <c r="F116" i="16"/>
  <c r="F120" i="16" s="1"/>
  <c r="H114" i="16"/>
  <c r="G114" i="16"/>
  <c r="F114" i="16"/>
  <c r="H113" i="16"/>
  <c r="G113" i="16"/>
  <c r="F113" i="16"/>
  <c r="H112" i="16"/>
  <c r="G112" i="16"/>
  <c r="F112" i="16"/>
  <c r="I47" i="16"/>
  <c r="D47" i="16"/>
  <c r="E47" i="16" s="1"/>
  <c r="H47" i="16"/>
  <c r="H51" i="16" s="1"/>
  <c r="G47" i="16"/>
  <c r="F47" i="16"/>
  <c r="H44" i="16"/>
  <c r="G44" i="16"/>
  <c r="F44" i="16"/>
  <c r="F51" i="16" s="1"/>
  <c r="H42" i="16"/>
  <c r="G42" i="16"/>
  <c r="F42" i="16"/>
  <c r="H43" i="16"/>
  <c r="G43" i="16"/>
  <c r="F43" i="16"/>
  <c r="I43" i="16" s="1"/>
  <c r="H80" i="16"/>
  <c r="H81" i="16" s="1"/>
  <c r="G80" i="16"/>
  <c r="F80" i="16"/>
  <c r="H90" i="16"/>
  <c r="I90" i="16" s="1"/>
  <c r="G90" i="16"/>
  <c r="F90" i="16"/>
  <c r="H89" i="16"/>
  <c r="G89" i="16"/>
  <c r="F89" i="16"/>
  <c r="H88" i="16"/>
  <c r="G88" i="16"/>
  <c r="F88" i="16"/>
  <c r="H85" i="16"/>
  <c r="G85" i="16"/>
  <c r="F85" i="16"/>
  <c r="H5" i="16"/>
  <c r="G5" i="16"/>
  <c r="F5" i="16"/>
  <c r="H8" i="16"/>
  <c r="I8" i="16" s="1"/>
  <c r="G8" i="16"/>
  <c r="D8" i="16" s="1"/>
  <c r="E8" i="16" s="1"/>
  <c r="F8" i="16"/>
  <c r="H6" i="16"/>
  <c r="G6" i="16"/>
  <c r="F6" i="16"/>
  <c r="H9" i="16"/>
  <c r="G9" i="16"/>
  <c r="F9" i="16"/>
  <c r="I76" i="16"/>
  <c r="D76" i="16"/>
  <c r="E76" i="16" s="1"/>
  <c r="H76" i="16"/>
  <c r="G76" i="16"/>
  <c r="G81" i="16" s="1"/>
  <c r="F76" i="16"/>
  <c r="H73" i="16"/>
  <c r="I73" i="16" s="1"/>
  <c r="G73" i="16"/>
  <c r="F73" i="16"/>
  <c r="H72" i="16"/>
  <c r="G72" i="16"/>
  <c r="F72" i="16"/>
  <c r="H100" i="16"/>
  <c r="G100" i="16"/>
  <c r="F100" i="16"/>
  <c r="D100" i="16" s="1"/>
  <c r="E100" i="16" s="1"/>
  <c r="H101" i="16"/>
  <c r="G101" i="16"/>
  <c r="F101" i="16"/>
  <c r="H99" i="16"/>
  <c r="G99" i="16"/>
  <c r="D99" i="16" s="1"/>
  <c r="E99" i="16" s="1"/>
  <c r="F99" i="16"/>
  <c r="H97" i="16"/>
  <c r="G97" i="16"/>
  <c r="F97" i="16"/>
  <c r="H63" i="16"/>
  <c r="I63" i="16" s="1"/>
  <c r="G63" i="16"/>
  <c r="F63" i="16"/>
  <c r="H62" i="16"/>
  <c r="G62" i="16"/>
  <c r="F62" i="16"/>
  <c r="H61" i="16"/>
  <c r="G61" i="16"/>
  <c r="F61" i="16"/>
  <c r="H59" i="16"/>
  <c r="G59" i="16"/>
  <c r="D59" i="16" s="1"/>
  <c r="E59" i="16" s="1"/>
  <c r="F59" i="16"/>
  <c r="I33" i="17"/>
  <c r="F33" i="17"/>
  <c r="G33" i="17" s="1"/>
  <c r="E33" i="17"/>
  <c r="H33" i="17" s="1"/>
  <c r="H27" i="17"/>
  <c r="G27" i="17"/>
  <c r="H25" i="17"/>
  <c r="G25" i="17"/>
  <c r="H23" i="17"/>
  <c r="G23" i="17"/>
  <c r="H30" i="17"/>
  <c r="G30" i="17"/>
  <c r="H21" i="17"/>
  <c r="G21" i="17"/>
  <c r="H24" i="17"/>
  <c r="G24" i="17"/>
  <c r="H26" i="17"/>
  <c r="G26" i="17"/>
  <c r="H28" i="17"/>
  <c r="G28" i="17"/>
  <c r="H22" i="17"/>
  <c r="G22" i="17"/>
  <c r="H29" i="17"/>
  <c r="G29" i="17"/>
  <c r="H19" i="17"/>
  <c r="E19" i="17"/>
  <c r="G15" i="17"/>
  <c r="I5" i="17"/>
  <c r="H142" i="16"/>
  <c r="I142" i="16" s="1"/>
  <c r="G142" i="16"/>
  <c r="F142" i="16"/>
  <c r="D142" i="16"/>
  <c r="E142" i="16" s="1"/>
  <c r="H141" i="16"/>
  <c r="G141" i="16"/>
  <c r="F141" i="16"/>
  <c r="I141" i="16" s="1"/>
  <c r="H140" i="16"/>
  <c r="I140" i="16" s="1"/>
  <c r="G140" i="16"/>
  <c r="F140" i="16"/>
  <c r="D140" i="16"/>
  <c r="E140" i="16" s="1"/>
  <c r="H139" i="16"/>
  <c r="G139" i="16"/>
  <c r="F139" i="16"/>
  <c r="I139" i="16" s="1"/>
  <c r="H138" i="16"/>
  <c r="I138" i="16" s="1"/>
  <c r="G138" i="16"/>
  <c r="F138" i="16"/>
  <c r="D138" i="16"/>
  <c r="E138" i="16" s="1"/>
  <c r="H137" i="16"/>
  <c r="G137" i="16"/>
  <c r="F137" i="16"/>
  <c r="I137" i="16" s="1"/>
  <c r="D116" i="16"/>
  <c r="E116" i="16" s="1"/>
  <c r="H135" i="16"/>
  <c r="G135" i="16"/>
  <c r="D135" i="16" s="1"/>
  <c r="E135" i="16" s="1"/>
  <c r="F135" i="16"/>
  <c r="I135" i="16" s="1"/>
  <c r="H134" i="16"/>
  <c r="I134" i="16" s="1"/>
  <c r="G134" i="16"/>
  <c r="F134" i="16"/>
  <c r="D134" i="16"/>
  <c r="E134" i="16" s="1"/>
  <c r="H133" i="16"/>
  <c r="G133" i="16"/>
  <c r="F133" i="16"/>
  <c r="I133" i="16" s="1"/>
  <c r="H132" i="16"/>
  <c r="I132" i="16" s="1"/>
  <c r="G132" i="16"/>
  <c r="F132" i="16"/>
  <c r="D132" i="16"/>
  <c r="E132" i="16" s="1"/>
  <c r="H131" i="16"/>
  <c r="G131" i="16"/>
  <c r="F131" i="16"/>
  <c r="I131" i="16" s="1"/>
  <c r="H130" i="16"/>
  <c r="I130" i="16" s="1"/>
  <c r="G130" i="16"/>
  <c r="F130" i="16"/>
  <c r="D130" i="16"/>
  <c r="E130" i="16" s="1"/>
  <c r="H129" i="16"/>
  <c r="G129" i="16"/>
  <c r="F129" i="16"/>
  <c r="I129" i="16" s="1"/>
  <c r="H128" i="16"/>
  <c r="I128" i="16" s="1"/>
  <c r="G128" i="16"/>
  <c r="F128" i="16"/>
  <c r="D128" i="16"/>
  <c r="E128" i="16" s="1"/>
  <c r="H119" i="16"/>
  <c r="G119" i="16"/>
  <c r="F119" i="16"/>
  <c r="I119" i="16" s="1"/>
  <c r="H115" i="16"/>
  <c r="G115" i="16"/>
  <c r="F115" i="16"/>
  <c r="D115" i="16" s="1"/>
  <c r="E115" i="16" s="1"/>
  <c r="I114" i="16"/>
  <c r="D114" i="16"/>
  <c r="E114" i="16" s="1"/>
  <c r="D112" i="16"/>
  <c r="E112" i="16" s="1"/>
  <c r="H104" i="16"/>
  <c r="G104" i="16"/>
  <c r="F104" i="16"/>
  <c r="I104" i="16" s="1"/>
  <c r="H102" i="16"/>
  <c r="I102" i="16" s="1"/>
  <c r="G102" i="16"/>
  <c r="F102" i="16"/>
  <c r="D102" i="16"/>
  <c r="E102" i="16" s="1"/>
  <c r="I100" i="16"/>
  <c r="H98" i="16"/>
  <c r="G98" i="16"/>
  <c r="F98" i="16"/>
  <c r="D98" i="16" s="1"/>
  <c r="E98" i="16" s="1"/>
  <c r="I97" i="16"/>
  <c r="D97" i="16"/>
  <c r="E97" i="16" s="1"/>
  <c r="H96" i="16"/>
  <c r="J107" i="16" s="1"/>
  <c r="G96" i="16"/>
  <c r="I107" i="16" s="1"/>
  <c r="F96" i="16"/>
  <c r="H91" i="16"/>
  <c r="G91" i="16"/>
  <c r="D91" i="16" s="1"/>
  <c r="F91" i="16"/>
  <c r="D90" i="16"/>
  <c r="E90" i="16" s="1"/>
  <c r="D89" i="16"/>
  <c r="E89" i="16" s="1"/>
  <c r="H87" i="16"/>
  <c r="G87" i="16"/>
  <c r="F87" i="16"/>
  <c r="D87" i="16" s="1"/>
  <c r="E87" i="16" s="1"/>
  <c r="I86" i="16"/>
  <c r="H86" i="16"/>
  <c r="G86" i="16"/>
  <c r="F86" i="16"/>
  <c r="E86" i="16"/>
  <c r="D86" i="16"/>
  <c r="G93" i="16"/>
  <c r="D85" i="16"/>
  <c r="E85" i="16" s="1"/>
  <c r="I80" i="16"/>
  <c r="O78" i="16"/>
  <c r="H78" i="16"/>
  <c r="I78" i="16" s="1"/>
  <c r="G78" i="16"/>
  <c r="F78" i="16"/>
  <c r="D78" i="16"/>
  <c r="E78" i="16" s="1"/>
  <c r="R77" i="16"/>
  <c r="Q77" i="16"/>
  <c r="P77" i="16"/>
  <c r="I75" i="16"/>
  <c r="H75" i="16"/>
  <c r="G75" i="16"/>
  <c r="F75" i="16"/>
  <c r="E75" i="16"/>
  <c r="D75" i="16"/>
  <c r="H74" i="16"/>
  <c r="G74" i="16"/>
  <c r="F74" i="16"/>
  <c r="D74" i="16" s="1"/>
  <c r="E74" i="16" s="1"/>
  <c r="D73" i="16"/>
  <c r="E73" i="16" s="1"/>
  <c r="H67" i="16"/>
  <c r="G67" i="16"/>
  <c r="F67" i="16"/>
  <c r="E63" i="16"/>
  <c r="D63" i="16"/>
  <c r="I62" i="16"/>
  <c r="I61" i="16"/>
  <c r="H60" i="16"/>
  <c r="G60" i="16"/>
  <c r="F60" i="16"/>
  <c r="I60" i="16" s="1"/>
  <c r="H50" i="16"/>
  <c r="G50" i="16"/>
  <c r="F50" i="16"/>
  <c r="I50" i="16" s="1"/>
  <c r="H46" i="16"/>
  <c r="G46" i="16"/>
  <c r="F46" i="16"/>
  <c r="D46" i="16" s="1"/>
  <c r="E46" i="16" s="1"/>
  <c r="I45" i="16"/>
  <c r="H45" i="16"/>
  <c r="G45" i="16"/>
  <c r="F45" i="16"/>
  <c r="E45" i="16"/>
  <c r="D45" i="16"/>
  <c r="G51" i="16"/>
  <c r="D33" i="16"/>
  <c r="E33" i="16" s="1"/>
  <c r="H32" i="16"/>
  <c r="G32" i="16"/>
  <c r="F32" i="16"/>
  <c r="I32" i="16" s="1"/>
  <c r="F31" i="16"/>
  <c r="D31" i="16" s="1"/>
  <c r="F30" i="16"/>
  <c r="I30" i="16" s="1"/>
  <c r="D30" i="16"/>
  <c r="F37" i="16"/>
  <c r="H23" i="16"/>
  <c r="I23" i="16" s="1"/>
  <c r="G23" i="16"/>
  <c r="D23" i="16" s="1"/>
  <c r="F23" i="16"/>
  <c r="H21" i="16"/>
  <c r="G21" i="16"/>
  <c r="F21" i="16"/>
  <c r="I21" i="16" s="1"/>
  <c r="I20" i="16"/>
  <c r="D20" i="16"/>
  <c r="E20" i="16" s="1"/>
  <c r="D19" i="16"/>
  <c r="E19" i="16" s="1"/>
  <c r="H18" i="16"/>
  <c r="G18" i="16"/>
  <c r="G25" i="16" s="1"/>
  <c r="F18" i="16"/>
  <c r="D18" i="16"/>
  <c r="E18" i="16" s="1"/>
  <c r="D17" i="16"/>
  <c r="E17" i="16" s="1"/>
  <c r="H11" i="16"/>
  <c r="I11" i="16" s="1"/>
  <c r="G11" i="16"/>
  <c r="D11" i="16" s="1"/>
  <c r="F11" i="16"/>
  <c r="H10" i="16"/>
  <c r="I10" i="16" s="1"/>
  <c r="G10" i="16"/>
  <c r="F10" i="16"/>
  <c r="D10" i="16"/>
  <c r="E10" i="16" s="1"/>
  <c r="D9" i="16"/>
  <c r="E9" i="16" s="1"/>
  <c r="D6" i="16"/>
  <c r="E6" i="16" s="1"/>
  <c r="I5" i="16"/>
  <c r="D5" i="16"/>
  <c r="E5" i="16" s="1"/>
  <c r="H98" i="1"/>
  <c r="G98" i="1"/>
  <c r="F98" i="1"/>
  <c r="H102" i="1"/>
  <c r="G102" i="1"/>
  <c r="F102" i="1"/>
  <c r="H97" i="1"/>
  <c r="G97" i="1"/>
  <c r="F97" i="1"/>
  <c r="H96" i="1"/>
  <c r="G96" i="1"/>
  <c r="F96" i="1"/>
  <c r="H114" i="1"/>
  <c r="G114" i="1"/>
  <c r="F114" i="1"/>
  <c r="H112" i="1"/>
  <c r="G112" i="1"/>
  <c r="F112" i="1"/>
  <c r="H113" i="1"/>
  <c r="G113" i="1"/>
  <c r="F113" i="1"/>
  <c r="H115" i="1"/>
  <c r="G115" i="1"/>
  <c r="F115" i="1"/>
  <c r="H59" i="1"/>
  <c r="G59" i="1"/>
  <c r="F59" i="1"/>
  <c r="H9" i="1"/>
  <c r="G9" i="1"/>
  <c r="F9" i="1"/>
  <c r="H10" i="1"/>
  <c r="G10" i="1"/>
  <c r="F10" i="1"/>
  <c r="H5" i="1"/>
  <c r="G5" i="1"/>
  <c r="F5" i="1"/>
  <c r="H8" i="1"/>
  <c r="G8" i="1"/>
  <c r="F8" i="1"/>
  <c r="H88" i="1"/>
  <c r="G88" i="1"/>
  <c r="F88" i="1"/>
  <c r="H87" i="1"/>
  <c r="G87" i="1"/>
  <c r="F87" i="1"/>
  <c r="H90" i="1"/>
  <c r="G90" i="1"/>
  <c r="F90" i="1"/>
  <c r="H85" i="1"/>
  <c r="G85" i="1"/>
  <c r="F85" i="1"/>
  <c r="H17" i="1"/>
  <c r="G17" i="1"/>
  <c r="F17" i="1"/>
  <c r="H20" i="1"/>
  <c r="G20" i="1"/>
  <c r="F20" i="1"/>
  <c r="H18" i="1"/>
  <c r="G18" i="1"/>
  <c r="F18" i="1"/>
  <c r="H21" i="1"/>
  <c r="G21" i="1"/>
  <c r="F21" i="1"/>
  <c r="H42" i="1"/>
  <c r="G42" i="1"/>
  <c r="F42" i="1"/>
  <c r="H44" i="1"/>
  <c r="G44" i="1"/>
  <c r="F44" i="1"/>
  <c r="H45" i="1"/>
  <c r="G45" i="1"/>
  <c r="F45" i="1"/>
  <c r="H43" i="1"/>
  <c r="G43" i="1"/>
  <c r="F43" i="1"/>
  <c r="H75" i="1"/>
  <c r="G75" i="1"/>
  <c r="F75" i="1"/>
  <c r="H74" i="1"/>
  <c r="G74" i="1"/>
  <c r="F74" i="1"/>
  <c r="H73" i="1"/>
  <c r="G73" i="1"/>
  <c r="F73" i="1"/>
  <c r="H72" i="1"/>
  <c r="G72" i="1"/>
  <c r="F72" i="1"/>
  <c r="H32" i="1"/>
  <c r="G32" i="1"/>
  <c r="F32" i="1"/>
  <c r="H29" i="1"/>
  <c r="G29" i="1"/>
  <c r="F29" i="1"/>
  <c r="H116" i="1"/>
  <c r="G116" i="1"/>
  <c r="F116" i="1"/>
  <c r="H104" i="1"/>
  <c r="G104" i="1"/>
  <c r="F104" i="1"/>
  <c r="H101" i="1"/>
  <c r="G101" i="1"/>
  <c r="F101" i="1"/>
  <c r="H100" i="1"/>
  <c r="G100" i="1"/>
  <c r="F100" i="1"/>
  <c r="H99" i="1"/>
  <c r="G99" i="1"/>
  <c r="F99" i="1"/>
  <c r="H91" i="1"/>
  <c r="G91" i="1"/>
  <c r="F91" i="1"/>
  <c r="H89" i="1"/>
  <c r="G89" i="1"/>
  <c r="F89" i="1"/>
  <c r="H86" i="1"/>
  <c r="G86" i="1"/>
  <c r="F86" i="1"/>
  <c r="H80" i="1"/>
  <c r="G80" i="1"/>
  <c r="F80" i="1"/>
  <c r="H78" i="1"/>
  <c r="G78" i="1"/>
  <c r="F78" i="1"/>
  <c r="H63" i="1"/>
  <c r="G63" i="1"/>
  <c r="F63" i="1"/>
  <c r="H50" i="1"/>
  <c r="G50" i="1"/>
  <c r="F50" i="1"/>
  <c r="F46" i="1"/>
  <c r="F34" i="1"/>
  <c r="F33" i="1"/>
  <c r="F23" i="1"/>
  <c r="F22" i="1"/>
  <c r="F19" i="1"/>
  <c r="H11" i="1"/>
  <c r="G11" i="1"/>
  <c r="F11" i="1"/>
  <c r="F6" i="1"/>
  <c r="H46" i="1"/>
  <c r="G46" i="1"/>
  <c r="H34" i="1"/>
  <c r="G34" i="1"/>
  <c r="H33" i="1"/>
  <c r="G33" i="1"/>
  <c r="H23" i="1"/>
  <c r="G23" i="1"/>
  <c r="H22" i="1"/>
  <c r="G22" i="1"/>
  <c r="H19" i="1"/>
  <c r="G19" i="1"/>
  <c r="D19" i="1"/>
  <c r="E19" i="1" s="1"/>
  <c r="H6" i="1"/>
  <c r="G6" i="1"/>
  <c r="I19" i="1"/>
  <c r="I34" i="1"/>
  <c r="I12" i="27" l="1"/>
  <c r="H12" i="27"/>
  <c r="G12" i="27"/>
  <c r="H9" i="25"/>
  <c r="I11" i="25"/>
  <c r="G9" i="25"/>
  <c r="I10" i="23"/>
  <c r="I11" i="23" s="1"/>
  <c r="I12" i="23" s="1"/>
  <c r="G11" i="23"/>
  <c r="H11" i="23"/>
  <c r="I9" i="21"/>
  <c r="G7" i="21"/>
  <c r="H7" i="21"/>
  <c r="I13" i="18"/>
  <c r="I37" i="18"/>
  <c r="G7" i="19"/>
  <c r="H7" i="19"/>
  <c r="I7" i="19"/>
  <c r="I93" i="18"/>
  <c r="D93" i="18"/>
  <c r="F107" i="18"/>
  <c r="I51" i="18"/>
  <c r="D51" i="18"/>
  <c r="I68" i="18"/>
  <c r="D68" i="18"/>
  <c r="E15" i="17"/>
  <c r="H15" i="17" s="1"/>
  <c r="I22" i="16"/>
  <c r="H25" i="16"/>
  <c r="D22" i="16"/>
  <c r="E22" i="16" s="1"/>
  <c r="I33" i="16"/>
  <c r="I116" i="16"/>
  <c r="D44" i="16"/>
  <c r="E44" i="16" s="1"/>
  <c r="D43" i="16"/>
  <c r="E43" i="16" s="1"/>
  <c r="H93" i="16"/>
  <c r="I88" i="16"/>
  <c r="D88" i="16"/>
  <c r="E88" i="16" s="1"/>
  <c r="G13" i="16"/>
  <c r="F81" i="16"/>
  <c r="I81" i="16" s="1"/>
  <c r="I101" i="16"/>
  <c r="H107" i="16"/>
  <c r="K107" i="16" s="1"/>
  <c r="G68" i="16"/>
  <c r="I6" i="17"/>
  <c r="H10" i="17"/>
  <c r="F15" i="17"/>
  <c r="D37" i="16"/>
  <c r="D51" i="16"/>
  <c r="I51" i="16"/>
  <c r="F68" i="16"/>
  <c r="H13" i="16"/>
  <c r="D21" i="16"/>
  <c r="E21" i="16" s="1"/>
  <c r="I31" i="16"/>
  <c r="I6" i="16"/>
  <c r="I9" i="16"/>
  <c r="I19" i="16"/>
  <c r="D29" i="16"/>
  <c r="E29" i="16" s="1"/>
  <c r="D32" i="16"/>
  <c r="E32" i="16" s="1"/>
  <c r="D34" i="16"/>
  <c r="E34" i="16" s="1"/>
  <c r="I42" i="16"/>
  <c r="I44" i="16"/>
  <c r="I46" i="16"/>
  <c r="I59" i="16"/>
  <c r="D62" i="16"/>
  <c r="E62" i="16" s="1"/>
  <c r="I72" i="16"/>
  <c r="I74" i="16"/>
  <c r="I85" i="16"/>
  <c r="I87" i="16"/>
  <c r="I89" i="16"/>
  <c r="F93" i="16"/>
  <c r="D96" i="16"/>
  <c r="E96" i="16" s="1"/>
  <c r="D101" i="16"/>
  <c r="E101" i="16" s="1"/>
  <c r="D104" i="16"/>
  <c r="I113" i="16"/>
  <c r="I115" i="16"/>
  <c r="D129" i="16"/>
  <c r="E129" i="16" s="1"/>
  <c r="D131" i="16"/>
  <c r="E131" i="16" s="1"/>
  <c r="D133" i="16"/>
  <c r="E133" i="16" s="1"/>
  <c r="D137" i="16"/>
  <c r="E137" i="16" s="1"/>
  <c r="D139" i="16"/>
  <c r="E139" i="16" s="1"/>
  <c r="D141" i="16"/>
  <c r="E141" i="16" s="1"/>
  <c r="F13" i="16"/>
  <c r="F25" i="16"/>
  <c r="D25" i="16" s="1"/>
  <c r="I29" i="16"/>
  <c r="I34" i="16"/>
  <c r="H37" i="16"/>
  <c r="I37" i="16" s="1"/>
  <c r="D50" i="16"/>
  <c r="D61" i="16"/>
  <c r="H68" i="16"/>
  <c r="D80" i="16"/>
  <c r="I96" i="16"/>
  <c r="D119" i="16"/>
  <c r="D42" i="16"/>
  <c r="E42" i="16" s="1"/>
  <c r="D72" i="16"/>
  <c r="E72" i="16" s="1"/>
  <c r="D113" i="16"/>
  <c r="E113" i="16" s="1"/>
  <c r="D34" i="1"/>
  <c r="E34" i="1" s="1"/>
  <c r="H10" i="27" l="1"/>
  <c r="I13" i="27"/>
  <c r="G10" i="27"/>
  <c r="I12" i="25"/>
  <c r="H11" i="25"/>
  <c r="G11" i="25"/>
  <c r="H12" i="23"/>
  <c r="G12" i="23"/>
  <c r="H10" i="23"/>
  <c r="I13" i="23"/>
  <c r="G10" i="23"/>
  <c r="I10" i="21"/>
  <c r="G10" i="21"/>
  <c r="H10" i="21"/>
  <c r="I8" i="19"/>
  <c r="H6" i="19"/>
  <c r="G6" i="19"/>
  <c r="D81" i="16"/>
  <c r="I7" i="17"/>
  <c r="G6" i="17"/>
  <c r="H6" i="17"/>
  <c r="I13" i="16"/>
  <c r="D13" i="16"/>
  <c r="I93" i="16"/>
  <c r="D93" i="16"/>
  <c r="F107" i="16"/>
  <c r="I68" i="16"/>
  <c r="D68" i="16"/>
  <c r="I14" i="27" l="1"/>
  <c r="H14" i="27"/>
  <c r="G14" i="27"/>
  <c r="I13" i="25"/>
  <c r="G12" i="25"/>
  <c r="H12" i="25"/>
  <c r="I14" i="23"/>
  <c r="G13" i="23"/>
  <c r="H13" i="23"/>
  <c r="I11" i="21"/>
  <c r="G9" i="21"/>
  <c r="H9" i="21"/>
  <c r="I9" i="19"/>
  <c r="G10" i="19"/>
  <c r="H10" i="19"/>
  <c r="I8" i="17"/>
  <c r="H9" i="17"/>
  <c r="G9" i="17"/>
  <c r="H13" i="27" l="1"/>
  <c r="G13" i="27"/>
  <c r="I17" i="27"/>
  <c r="I14" i="25"/>
  <c r="H13" i="25"/>
  <c r="G13" i="25"/>
  <c r="H14" i="23"/>
  <c r="G14" i="23"/>
  <c r="I17" i="23"/>
  <c r="I12" i="21"/>
  <c r="H11" i="21"/>
  <c r="G11" i="21"/>
  <c r="I10" i="19"/>
  <c r="G9" i="19"/>
  <c r="H9" i="19"/>
  <c r="I9" i="17"/>
  <c r="G8" i="17"/>
  <c r="H8" i="17"/>
  <c r="G14" i="25" l="1"/>
  <c r="H14" i="25"/>
  <c r="I17" i="25"/>
  <c r="G13" i="21"/>
  <c r="I13" i="21"/>
  <c r="H13" i="21"/>
  <c r="I11" i="19"/>
  <c r="H8" i="19"/>
  <c r="G8" i="19"/>
  <c r="H7" i="17"/>
  <c r="I10" i="17"/>
  <c r="G7" i="17"/>
  <c r="I14" i="21" l="1"/>
  <c r="H12" i="21"/>
  <c r="G12" i="21"/>
  <c r="I12" i="19"/>
  <c r="G11" i="19"/>
  <c r="H11" i="19"/>
  <c r="I11" i="17"/>
  <c r="H5" i="17"/>
  <c r="G5" i="17"/>
  <c r="G14" i="21" l="1"/>
  <c r="H14" i="21"/>
  <c r="I17" i="21"/>
  <c r="G12" i="19"/>
  <c r="I13" i="19"/>
  <c r="H12" i="19"/>
  <c r="I12" i="17"/>
  <c r="H13" i="17"/>
  <c r="G13" i="17"/>
  <c r="I14" i="19" l="1"/>
  <c r="G13" i="19"/>
  <c r="H13" i="19"/>
  <c r="H11" i="17"/>
  <c r="I13" i="17"/>
  <c r="G11" i="17"/>
  <c r="G14" i="19" l="1"/>
  <c r="H14" i="19"/>
  <c r="I17" i="19"/>
  <c r="I14" i="17"/>
  <c r="H12" i="17"/>
  <c r="G12" i="17"/>
  <c r="G14" i="17" l="1"/>
  <c r="H14" i="17"/>
  <c r="I17" i="17"/>
  <c r="G62" i="1" l="1"/>
  <c r="F11" i="2" l="1"/>
  <c r="E11" i="2"/>
  <c r="F10" i="2"/>
  <c r="E10" i="2"/>
  <c r="D10" i="2"/>
  <c r="F12" i="2"/>
  <c r="E12" i="2"/>
  <c r="D12" i="2"/>
  <c r="F7" i="2"/>
  <c r="E7" i="2"/>
  <c r="D7" i="2"/>
  <c r="F8" i="2"/>
  <c r="E8" i="2"/>
  <c r="D8" i="2"/>
  <c r="F14" i="2"/>
  <c r="E14" i="2"/>
  <c r="D14" i="2"/>
  <c r="F5" i="2"/>
  <c r="E5" i="2"/>
  <c r="D5" i="2"/>
  <c r="F13" i="2"/>
  <c r="E13" i="2"/>
  <c r="D13" i="2"/>
  <c r="F6" i="2"/>
  <c r="E6" i="2"/>
  <c r="D6" i="2"/>
  <c r="H142" i="1"/>
  <c r="G142" i="1"/>
  <c r="F142" i="1"/>
  <c r="I102" i="1"/>
  <c r="D115" i="1"/>
  <c r="E115" i="1" s="1"/>
  <c r="I62" i="1"/>
  <c r="F62" i="1"/>
  <c r="D62" i="1" s="1"/>
  <c r="E62" i="1" s="1"/>
  <c r="F61" i="1"/>
  <c r="D61" i="1" s="1"/>
  <c r="H60" i="1"/>
  <c r="G60" i="1"/>
  <c r="F60" i="1"/>
  <c r="I9" i="1"/>
  <c r="I20" i="1"/>
  <c r="I42" i="1"/>
  <c r="I45" i="1"/>
  <c r="F31" i="1"/>
  <c r="F30" i="1"/>
  <c r="I30" i="1" s="1"/>
  <c r="H136" i="1"/>
  <c r="I136" i="1" s="1"/>
  <c r="G136" i="1"/>
  <c r="F136" i="1"/>
  <c r="D136" i="1"/>
  <c r="E136" i="1" s="1"/>
  <c r="H135" i="1"/>
  <c r="G135" i="1"/>
  <c r="F135" i="1"/>
  <c r="H134" i="1"/>
  <c r="I134" i="1" s="1"/>
  <c r="G134" i="1"/>
  <c r="D134" i="1" s="1"/>
  <c r="E134" i="1" s="1"/>
  <c r="F134" i="1"/>
  <c r="H133" i="1"/>
  <c r="G133" i="1"/>
  <c r="F133" i="1"/>
  <c r="H132" i="1"/>
  <c r="G132" i="1"/>
  <c r="F132" i="1"/>
  <c r="H141" i="1"/>
  <c r="G141" i="1"/>
  <c r="F141" i="1"/>
  <c r="D99" i="1"/>
  <c r="E99" i="1" s="1"/>
  <c r="D98" i="1"/>
  <c r="E98" i="1" s="1"/>
  <c r="I97" i="1"/>
  <c r="I96" i="1"/>
  <c r="I87" i="1"/>
  <c r="H138" i="1"/>
  <c r="G138" i="1"/>
  <c r="F138" i="1"/>
  <c r="H137" i="1"/>
  <c r="G137" i="1"/>
  <c r="F137" i="1"/>
  <c r="D29" i="1"/>
  <c r="E29" i="1" s="1"/>
  <c r="R77" i="1"/>
  <c r="Q77" i="1"/>
  <c r="P77" i="1"/>
  <c r="H67" i="1"/>
  <c r="G67" i="1"/>
  <c r="F67" i="1"/>
  <c r="H131" i="1"/>
  <c r="G131" i="1"/>
  <c r="F131" i="1"/>
  <c r="H130" i="1"/>
  <c r="G130" i="1"/>
  <c r="F130" i="1"/>
  <c r="D33" i="1"/>
  <c r="E33" i="1" s="1"/>
  <c r="H140" i="1"/>
  <c r="G140" i="1"/>
  <c r="F140" i="1"/>
  <c r="H139" i="1"/>
  <c r="G139" i="1"/>
  <c r="F139" i="1"/>
  <c r="D50" i="1"/>
  <c r="D63" i="1"/>
  <c r="E63" i="1" s="1"/>
  <c r="H128" i="1"/>
  <c r="G128" i="1"/>
  <c r="F128" i="1"/>
  <c r="D128" i="1" s="1"/>
  <c r="E128" i="1" s="1"/>
  <c r="H51" i="1"/>
  <c r="D46" i="1"/>
  <c r="E46" i="1" s="1"/>
  <c r="I43" i="1"/>
  <c r="I23" i="1"/>
  <c r="I22" i="1"/>
  <c r="D22" i="1"/>
  <c r="E22" i="1" s="1"/>
  <c r="D20" i="1"/>
  <c r="E20" i="1" s="1"/>
  <c r="D18" i="1"/>
  <c r="E18" i="1" s="1"/>
  <c r="I11" i="1"/>
  <c r="D11" i="1"/>
  <c r="I10" i="1"/>
  <c r="H129" i="1"/>
  <c r="I129" i="1" s="1"/>
  <c r="G129" i="1"/>
  <c r="D129" i="1" s="1"/>
  <c r="E129" i="1" s="1"/>
  <c r="F129" i="1"/>
  <c r="D5" i="1"/>
  <c r="E5" i="1" s="1"/>
  <c r="D140" i="1" l="1"/>
  <c r="E140" i="1" s="1"/>
  <c r="I130" i="1"/>
  <c r="D137" i="1"/>
  <c r="E137" i="1" s="1"/>
  <c r="I78" i="1"/>
  <c r="D86" i="1"/>
  <c r="E86" i="1" s="1"/>
  <c r="D113" i="1"/>
  <c r="E113" i="1" s="1"/>
  <c r="I50" i="1"/>
  <c r="D131" i="1"/>
  <c r="E131" i="1" s="1"/>
  <c r="D17" i="1"/>
  <c r="E17" i="1" s="1"/>
  <c r="I60" i="1"/>
  <c r="D142" i="1"/>
  <c r="E142" i="1" s="1"/>
  <c r="D100" i="1"/>
  <c r="E100" i="1" s="1"/>
  <c r="I131" i="1"/>
  <c r="I29" i="1"/>
  <c r="I142" i="1"/>
  <c r="G37" i="1"/>
  <c r="D101" i="1"/>
  <c r="E101" i="1" s="1"/>
  <c r="D89" i="1"/>
  <c r="E89" i="1" s="1"/>
  <c r="D132" i="1"/>
  <c r="E132" i="1" s="1"/>
  <c r="D91" i="1"/>
  <c r="D141" i="1"/>
  <c r="E141" i="1" s="1"/>
  <c r="H37" i="1"/>
  <c r="H68" i="1" s="1"/>
  <c r="I137" i="1"/>
  <c r="I86" i="1"/>
  <c r="I89" i="1"/>
  <c r="D104" i="1"/>
  <c r="G81" i="1"/>
  <c r="D45" i="1"/>
  <c r="E45" i="1" s="1"/>
  <c r="H25" i="1"/>
  <c r="D30" i="1"/>
  <c r="D42" i="1"/>
  <c r="E42" i="1" s="1"/>
  <c r="I101" i="1"/>
  <c r="I32" i="1"/>
  <c r="I138" i="1"/>
  <c r="H107" i="1"/>
  <c r="I141" i="1"/>
  <c r="I104" i="1"/>
  <c r="I132" i="1"/>
  <c r="I135" i="1"/>
  <c r="F37" i="1"/>
  <c r="D31" i="1"/>
  <c r="I8" i="1"/>
  <c r="D9" i="1"/>
  <c r="E9" i="1" s="1"/>
  <c r="D32" i="1"/>
  <c r="E32" i="1" s="1"/>
  <c r="D138" i="1"/>
  <c r="E138" i="1" s="1"/>
  <c r="F13" i="1"/>
  <c r="D6" i="1"/>
  <c r="E6" i="1" s="1"/>
  <c r="D23" i="1"/>
  <c r="D139" i="1"/>
  <c r="E139" i="1" s="1"/>
  <c r="D130" i="1"/>
  <c r="E130" i="1" s="1"/>
  <c r="D78" i="1"/>
  <c r="E78" i="1" s="1"/>
  <c r="I80" i="1"/>
  <c r="D97" i="1"/>
  <c r="E97" i="1" s="1"/>
  <c r="D102" i="1"/>
  <c r="E102" i="1" s="1"/>
  <c r="D133" i="1"/>
  <c r="E133" i="1" s="1"/>
  <c r="D135" i="1"/>
  <c r="E135" i="1" s="1"/>
  <c r="I31" i="1"/>
  <c r="I88" i="1"/>
  <c r="I116" i="1"/>
  <c r="I61" i="1"/>
  <c r="I115" i="1"/>
  <c r="D114" i="1"/>
  <c r="E114" i="1" s="1"/>
  <c r="D116" i="1"/>
  <c r="D112" i="1"/>
  <c r="E112" i="1" s="1"/>
  <c r="O78" i="1"/>
  <c r="D59" i="1"/>
  <c r="E59" i="1" s="1"/>
  <c r="I59" i="1"/>
  <c r="G13" i="1"/>
  <c r="H13" i="1"/>
  <c r="D88" i="1"/>
  <c r="E88" i="1" s="1"/>
  <c r="F93" i="1"/>
  <c r="D87" i="1"/>
  <c r="E87" i="1" s="1"/>
  <c r="D90" i="1"/>
  <c r="E90" i="1" s="1"/>
  <c r="I90" i="1"/>
  <c r="I85" i="1"/>
  <c r="D85" i="1"/>
  <c r="E85" i="1" s="1"/>
  <c r="G25" i="1"/>
  <c r="D21" i="1"/>
  <c r="E21" i="1" s="1"/>
  <c r="D44" i="1"/>
  <c r="E44" i="1" s="1"/>
  <c r="F51" i="1"/>
  <c r="I51" i="1" s="1"/>
  <c r="I44" i="1"/>
  <c r="D75" i="1"/>
  <c r="E75" i="1" s="1"/>
  <c r="I75" i="1"/>
  <c r="F81" i="1"/>
  <c r="I73" i="1"/>
  <c r="D73" i="1"/>
  <c r="E73" i="1" s="1"/>
  <c r="H81" i="1"/>
  <c r="D74" i="1"/>
  <c r="E74" i="1" s="1"/>
  <c r="I74" i="1"/>
  <c r="I72" i="1"/>
  <c r="F25" i="1"/>
  <c r="I5" i="1"/>
  <c r="D8" i="1"/>
  <c r="E8" i="1" s="1"/>
  <c r="D10" i="1"/>
  <c r="E10" i="1" s="1"/>
  <c r="I6" i="1"/>
  <c r="I21" i="1"/>
  <c r="D43" i="1"/>
  <c r="E43" i="1" s="1"/>
  <c r="I128" i="1"/>
  <c r="I63" i="1"/>
  <c r="G51" i="1"/>
  <c r="I100" i="1"/>
  <c r="I139" i="1"/>
  <c r="I140" i="1"/>
  <c r="D72" i="1"/>
  <c r="E72" i="1" s="1"/>
  <c r="D80" i="1"/>
  <c r="D96" i="1"/>
  <c r="E96" i="1" s="1"/>
  <c r="I114" i="1"/>
  <c r="I133" i="1"/>
  <c r="G93" i="1"/>
  <c r="I107" i="1"/>
  <c r="I46" i="1"/>
  <c r="I33" i="1"/>
  <c r="H93" i="1"/>
  <c r="J107" i="1"/>
  <c r="I113" i="1"/>
  <c r="D37" i="1" l="1"/>
  <c r="D81" i="1"/>
  <c r="I37" i="1"/>
  <c r="G68" i="1"/>
  <c r="D13" i="1"/>
  <c r="K107" i="1"/>
  <c r="I81" i="1"/>
  <c r="I13" i="1"/>
  <c r="I93" i="1"/>
  <c r="D51" i="1"/>
  <c r="F68" i="1"/>
  <c r="D93" i="1"/>
  <c r="D25" i="1"/>
  <c r="F107" i="1"/>
  <c r="D68" i="1" l="1"/>
  <c r="I68" i="1"/>
  <c r="E36" i="8" l="1"/>
  <c r="C36" i="8"/>
  <c r="E35" i="8"/>
  <c r="C35" i="8"/>
  <c r="E34" i="8"/>
  <c r="C34" i="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G24" i="8"/>
  <c r="E24" i="8"/>
  <c r="C24" i="8"/>
  <c r="G23" i="8"/>
  <c r="E23" i="8"/>
  <c r="C23" i="8"/>
  <c r="G22" i="8"/>
  <c r="E22" i="8"/>
  <c r="C22" i="8"/>
  <c r="G21" i="8"/>
  <c r="E21" i="8"/>
  <c r="C21" i="8"/>
  <c r="G20" i="8"/>
  <c r="E20" i="8"/>
  <c r="C20" i="8"/>
  <c r="G19" i="8"/>
  <c r="E19" i="8"/>
  <c r="C19" i="8"/>
  <c r="G18" i="8"/>
  <c r="E18" i="8"/>
  <c r="C18" i="8"/>
  <c r="G17" i="8"/>
  <c r="E17" i="8"/>
  <c r="C17" i="8"/>
  <c r="G16" i="8"/>
  <c r="E16" i="8"/>
  <c r="C16" i="8"/>
  <c r="G15" i="8"/>
  <c r="E15" i="8"/>
  <c r="C15" i="8"/>
  <c r="G14" i="8"/>
  <c r="E14" i="8"/>
  <c r="C14" i="8"/>
  <c r="G13" i="8"/>
  <c r="E13" i="8"/>
  <c r="C13" i="8"/>
  <c r="G12" i="8"/>
  <c r="E12" i="8"/>
  <c r="C12" i="8"/>
  <c r="G11" i="8"/>
  <c r="E11" i="8"/>
  <c r="C11" i="8"/>
  <c r="G10" i="8"/>
  <c r="E10" i="8"/>
  <c r="C10" i="8"/>
  <c r="G9" i="8"/>
  <c r="E9" i="8"/>
  <c r="C9" i="8"/>
  <c r="G8" i="8"/>
  <c r="E8" i="8"/>
  <c r="C8" i="8"/>
  <c r="G7" i="8"/>
  <c r="E7" i="8"/>
  <c r="C7" i="8"/>
  <c r="G6" i="8"/>
  <c r="E6" i="8"/>
  <c r="C6" i="8"/>
  <c r="I33" i="2" l="1"/>
  <c r="F33" i="2"/>
  <c r="G33" i="2" s="1"/>
  <c r="E33" i="2"/>
  <c r="H33" i="2" s="1"/>
  <c r="H24" i="2"/>
  <c r="G24" i="2"/>
  <c r="H22" i="2"/>
  <c r="G22" i="2"/>
  <c r="H28" i="2"/>
  <c r="G28" i="2"/>
  <c r="H30" i="2"/>
  <c r="G30" i="2"/>
  <c r="H25" i="2"/>
  <c r="G25" i="2"/>
  <c r="H27" i="2"/>
  <c r="G27" i="2"/>
  <c r="H23" i="2"/>
  <c r="G23" i="2"/>
  <c r="H21" i="2"/>
  <c r="G21" i="2"/>
  <c r="H29" i="2"/>
  <c r="G29" i="2"/>
  <c r="H26" i="2"/>
  <c r="G26" i="2"/>
  <c r="H19" i="2"/>
  <c r="E19" i="2"/>
  <c r="G15" i="2"/>
  <c r="I5" i="2"/>
  <c r="E15" i="2"/>
  <c r="H15" i="2" s="1"/>
  <c r="G9" i="2" l="1"/>
  <c r="H9" i="2"/>
  <c r="F15" i="2"/>
  <c r="F117" i="1" l="1"/>
  <c r="I6" i="2"/>
  <c r="I7" i="2"/>
  <c r="I8" i="2"/>
  <c r="I9" i="2"/>
  <c r="I10" i="2"/>
  <c r="H5" i="2"/>
  <c r="G5" i="2"/>
  <c r="I11" i="2"/>
  <c r="I12" i="2"/>
  <c r="I13" i="2"/>
  <c r="I14" i="2"/>
  <c r="G6" i="2"/>
  <c r="H6" i="2"/>
  <c r="G13" i="2"/>
  <c r="H13" i="2"/>
  <c r="G14" i="2"/>
  <c r="H14" i="2"/>
  <c r="H11" i="2"/>
  <c r="G11" i="2"/>
  <c r="G7" i="2"/>
  <c r="H7" i="2"/>
  <c r="H12" i="2"/>
  <c r="G12" i="2"/>
  <c r="I17" i="2"/>
  <c r="H10" i="2"/>
  <c r="G10" i="2"/>
  <c r="G8" i="2"/>
  <c r="H8" i="2"/>
  <c r="D120" i="16"/>
  <c r="G120" i="16"/>
  <c r="G120" i="22"/>
  <c r="D120" i="22"/>
  <c r="D120" i="20"/>
  <c r="G120" i="20"/>
  <c r="G120" i="18"/>
  <c r="D120" i="18"/>
  <c r="H120" i="18"/>
  <c r="H122" i="26"/>
  <c r="H117" i="1"/>
  <c r="G122" i="26"/>
  <c r="D122" i="26"/>
  <c r="D117" i="1"/>
  <c r="G117" i="1"/>
  <c r="H120" i="20"/>
  <c r="D120" i="24"/>
  <c r="G120" i="24"/>
  <c r="H120" i="24"/>
  <c r="H120" i="16"/>
  <c r="H120" i="22"/>
</calcChain>
</file>

<file path=xl/sharedStrings.xml><?xml version="1.0" encoding="utf-8"?>
<sst xmlns="http://schemas.openxmlformats.org/spreadsheetml/2006/main" count="2812" uniqueCount="231">
  <si>
    <t>Spieltag:</t>
  </si>
  <si>
    <t>Datum:</t>
  </si>
  <si>
    <t>Triple xXx</t>
  </si>
  <si>
    <t>Ø N.</t>
  </si>
  <si>
    <t>HCP</t>
  </si>
  <si>
    <t>Spiele</t>
  </si>
  <si>
    <t>Pins N.</t>
  </si>
  <si>
    <t>Pins B.</t>
  </si>
  <si>
    <t>Ø B.</t>
  </si>
  <si>
    <t>Ser.N.</t>
  </si>
  <si>
    <t>Ser.B.</t>
  </si>
  <si>
    <t>Sp.N.</t>
  </si>
  <si>
    <t>Sp.B.</t>
  </si>
  <si>
    <t>D</t>
  </si>
  <si>
    <t>Mona</t>
  </si>
  <si>
    <t>H</t>
  </si>
  <si>
    <t>Kevin</t>
  </si>
  <si>
    <t xml:space="preserve">Frank </t>
  </si>
  <si>
    <t xml:space="preserve">Dani </t>
  </si>
  <si>
    <t>AMP</t>
  </si>
  <si>
    <t>Jojo</t>
  </si>
  <si>
    <t>BLIND-1</t>
  </si>
  <si>
    <t>GESAMT</t>
  </si>
  <si>
    <t>Just for Fun</t>
  </si>
  <si>
    <t>Carsten</t>
  </si>
  <si>
    <t>Otto</t>
  </si>
  <si>
    <t>Anita</t>
  </si>
  <si>
    <t>Karin</t>
  </si>
  <si>
    <t xml:space="preserve">Michael T. </t>
  </si>
  <si>
    <t>Christian</t>
  </si>
  <si>
    <t>Hütchenbowler</t>
  </si>
  <si>
    <t>Danilo</t>
  </si>
  <si>
    <t>Mario</t>
  </si>
  <si>
    <t>Marco</t>
  </si>
  <si>
    <t>Michael</t>
  </si>
  <si>
    <t>Sigi</t>
  </si>
  <si>
    <t>Jürgen K</t>
  </si>
  <si>
    <t>Evelyn</t>
  </si>
  <si>
    <t>Dieter</t>
  </si>
  <si>
    <t>Mike</t>
  </si>
  <si>
    <t>Ferdie</t>
  </si>
  <si>
    <t>Sven</t>
  </si>
  <si>
    <t>Nestie</t>
  </si>
  <si>
    <t>Paddy</t>
  </si>
  <si>
    <t xml:space="preserve">The Bowling Stones </t>
  </si>
  <si>
    <t>Andrea</t>
  </si>
  <si>
    <t>Jens K.</t>
  </si>
  <si>
    <t xml:space="preserve">Jörg Z. </t>
  </si>
  <si>
    <t xml:space="preserve">Helmut </t>
  </si>
  <si>
    <t>Mandy</t>
  </si>
  <si>
    <t>Nadine</t>
  </si>
  <si>
    <t>Pinkiller</t>
  </si>
  <si>
    <t>Darren</t>
  </si>
  <si>
    <t>Kai</t>
  </si>
  <si>
    <t>Marcel</t>
  </si>
  <si>
    <t>Hansi</t>
  </si>
  <si>
    <t>Jürgen</t>
  </si>
  <si>
    <t>BLIND</t>
  </si>
  <si>
    <t>Lucky Strikers</t>
  </si>
  <si>
    <t xml:space="preserve">Spiele </t>
  </si>
  <si>
    <t xml:space="preserve">Pins N. </t>
  </si>
  <si>
    <t xml:space="preserve">Pins B. </t>
  </si>
  <si>
    <t xml:space="preserve">Ser. N. </t>
  </si>
  <si>
    <t xml:space="preserve">Ser. B. </t>
  </si>
  <si>
    <t xml:space="preserve">Sp. N. </t>
  </si>
  <si>
    <t xml:space="preserve">Sp. B. </t>
  </si>
  <si>
    <t xml:space="preserve">Michael Baier </t>
  </si>
  <si>
    <t>Sylvia</t>
  </si>
  <si>
    <t xml:space="preserve">Andreas R. </t>
  </si>
  <si>
    <t xml:space="preserve">Detlef K. </t>
  </si>
  <si>
    <t>Franz</t>
  </si>
  <si>
    <t>Gesamt</t>
  </si>
  <si>
    <t xml:space="preserve">Willi K. </t>
  </si>
  <si>
    <t>Olli</t>
  </si>
  <si>
    <t>Don</t>
  </si>
  <si>
    <t>Gebbie</t>
  </si>
  <si>
    <t>Mittwochsliga Saison 2024/2025</t>
  </si>
  <si>
    <t>Gesamttabelle</t>
  </si>
  <si>
    <t>Spieltag</t>
  </si>
  <si>
    <t>Datum</t>
  </si>
  <si>
    <t>Rang</t>
  </si>
  <si>
    <t>Teamname</t>
  </si>
  <si>
    <t>Punkte</t>
  </si>
  <si>
    <t>Pins Netto</t>
  </si>
  <si>
    <t>Pins Brutto</t>
  </si>
  <si>
    <t>Schnitt Brutto</t>
  </si>
  <si>
    <t>Schnitt Netto</t>
  </si>
  <si>
    <t xml:space="preserve">Bowling Stones </t>
  </si>
  <si>
    <t>Triple XXX</t>
  </si>
  <si>
    <t>Total</t>
  </si>
  <si>
    <t>Tagestabelle</t>
  </si>
  <si>
    <t>Bowling Stones</t>
  </si>
  <si>
    <t>Spielzettel Mittwochsliga</t>
  </si>
  <si>
    <t xml:space="preserve">Startgeld  </t>
  </si>
  <si>
    <t>Blindspieler</t>
  </si>
  <si>
    <t>Bahn</t>
  </si>
  <si>
    <t>Team</t>
  </si>
  <si>
    <t xml:space="preserve">Bahn </t>
  </si>
  <si>
    <t>Spieler</t>
  </si>
  <si>
    <t>AVG</t>
  </si>
  <si>
    <t>HDC</t>
  </si>
  <si>
    <t>G</t>
  </si>
  <si>
    <t>Blind?</t>
  </si>
  <si>
    <t>- 1 -</t>
  </si>
  <si>
    <t>- 2 -</t>
  </si>
  <si>
    <t>- 3 -</t>
  </si>
  <si>
    <t>Total netto</t>
  </si>
  <si>
    <t>Total brutto</t>
  </si>
  <si>
    <t>Marc</t>
  </si>
  <si>
    <t/>
  </si>
  <si>
    <t>Nettosumme</t>
  </si>
  <si>
    <t>Gesamt HDC</t>
  </si>
  <si>
    <t>Bruttosumme</t>
  </si>
  <si>
    <t>Spielpunkte</t>
  </si>
  <si>
    <t>BonusPunkte</t>
  </si>
  <si>
    <t>GesamtPunkte</t>
  </si>
  <si>
    <t>Unterschrift Gegner:</t>
  </si>
  <si>
    <t>BonusPunkteWertung</t>
  </si>
  <si>
    <t>bis    - 2100 Pins</t>
  </si>
  <si>
    <t>Punkt</t>
  </si>
  <si>
    <t>2301 - 2400 Pins</t>
  </si>
  <si>
    <t>2101 - 2200 Pins</t>
  </si>
  <si>
    <t>2401 - 2500 Pins</t>
  </si>
  <si>
    <t>2201 - 2300 Pins</t>
  </si>
  <si>
    <t>über   2501 Pins</t>
  </si>
  <si>
    <t xml:space="preserve">Michael B. </t>
  </si>
  <si>
    <t>Andreas R.</t>
  </si>
  <si>
    <t>Detlef K.</t>
  </si>
  <si>
    <t xml:space="preserve">Franz </t>
  </si>
  <si>
    <t>Harry</t>
  </si>
  <si>
    <t xml:space="preserve">Willi </t>
  </si>
  <si>
    <t xml:space="preserve">Olli </t>
  </si>
  <si>
    <t xml:space="preserve">Don </t>
  </si>
  <si>
    <t>Jhun</t>
  </si>
  <si>
    <t>Michael T</t>
  </si>
  <si>
    <t>Nico</t>
  </si>
  <si>
    <t>Gitte</t>
  </si>
  <si>
    <t>Harold</t>
  </si>
  <si>
    <t>Romel</t>
  </si>
  <si>
    <t xml:space="preserve">Detlef B. </t>
  </si>
  <si>
    <t>Catze</t>
  </si>
  <si>
    <t>Rico</t>
  </si>
  <si>
    <t>Adam</t>
  </si>
  <si>
    <t>Schnitt</t>
  </si>
  <si>
    <t>Zeller-Bande</t>
  </si>
  <si>
    <t>Jonny</t>
  </si>
  <si>
    <t>Isabel</t>
  </si>
  <si>
    <t>ST</t>
  </si>
  <si>
    <t>Bahn 1–2</t>
  </si>
  <si>
    <t>Bahn 3–4</t>
  </si>
  <si>
    <t>Bahn 5–6</t>
  </si>
  <si>
    <t>Bahn 7–8</t>
  </si>
  <si>
    <t>Bahn 9–10</t>
  </si>
  <si>
    <t>POSITION DAY</t>
  </si>
  <si>
    <t xml:space="preserve">1–2 </t>
  </si>
  <si>
    <t xml:space="preserve">3–4 </t>
  </si>
  <si>
    <t xml:space="preserve">5–6 </t>
  </si>
  <si>
    <t xml:space="preserve">7–8 </t>
  </si>
  <si>
    <t xml:space="preserve">9–10 </t>
  </si>
  <si>
    <t xml:space="preserve">7–9 </t>
  </si>
  <si>
    <t xml:space="preserve">2–6 </t>
  </si>
  <si>
    <t xml:space="preserve">5–10 </t>
  </si>
  <si>
    <t xml:space="preserve">3–8 </t>
  </si>
  <si>
    <t xml:space="preserve">1–4 </t>
  </si>
  <si>
    <t xml:space="preserve">4–8 </t>
  </si>
  <si>
    <t xml:space="preserve">5–7 </t>
  </si>
  <si>
    <t xml:space="preserve">2–10 </t>
  </si>
  <si>
    <t xml:space="preserve">3–9 </t>
  </si>
  <si>
    <t xml:space="preserve">1–6 </t>
  </si>
  <si>
    <t xml:space="preserve">3–5 </t>
  </si>
  <si>
    <t xml:space="preserve">1–8 </t>
  </si>
  <si>
    <t xml:space="preserve">4–9 </t>
  </si>
  <si>
    <t xml:space="preserve">6–10 </t>
  </si>
  <si>
    <t xml:space="preserve">2–7 </t>
  </si>
  <si>
    <t xml:space="preserve">1–10 </t>
  </si>
  <si>
    <t xml:space="preserve">6–7 </t>
  </si>
  <si>
    <t xml:space="preserve">2–3 </t>
  </si>
  <si>
    <t xml:space="preserve">4–5 </t>
  </si>
  <si>
    <t xml:space="preserve">8–9 </t>
  </si>
  <si>
    <t xml:space="preserve">3–6 </t>
  </si>
  <si>
    <t xml:space="preserve">5–8 </t>
  </si>
  <si>
    <t xml:space="preserve">1–9 </t>
  </si>
  <si>
    <t xml:space="preserve">2–4 </t>
  </si>
  <si>
    <t xml:space="preserve">7–10 </t>
  </si>
  <si>
    <t xml:space="preserve">5–9 </t>
  </si>
  <si>
    <t xml:space="preserve">3–10 </t>
  </si>
  <si>
    <t xml:space="preserve">4–6 </t>
  </si>
  <si>
    <t xml:space="preserve">1–7 </t>
  </si>
  <si>
    <t xml:space="preserve">2–8 </t>
  </si>
  <si>
    <t xml:space="preserve">4–10 </t>
  </si>
  <si>
    <t xml:space="preserve">2–9 </t>
  </si>
  <si>
    <t xml:space="preserve">3–7 </t>
  </si>
  <si>
    <t xml:space="preserve">6–8 </t>
  </si>
  <si>
    <t xml:space="preserve">1–5 </t>
  </si>
  <si>
    <t xml:space="preserve">8–10 </t>
  </si>
  <si>
    <t xml:space="preserve">1–3 </t>
  </si>
  <si>
    <t xml:space="preserve">4–7 </t>
  </si>
  <si>
    <t xml:space="preserve">6–9 </t>
  </si>
  <si>
    <t xml:space="preserve">2–5 </t>
  </si>
  <si>
    <t>2–4</t>
  </si>
  <si>
    <t>Tennis-Bowler</t>
  </si>
  <si>
    <t>Marlene</t>
  </si>
  <si>
    <t>Ben</t>
  </si>
  <si>
    <t>Irene</t>
  </si>
  <si>
    <t>Bahn 8</t>
  </si>
  <si>
    <t xml:space="preserve">Platzhalter </t>
  </si>
  <si>
    <t>Tennisbowler</t>
  </si>
  <si>
    <t>Ghost</t>
  </si>
  <si>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</si>
  <si>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</si>
  <si>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</si>
  <si>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</si>
  <si>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</si>
  <si>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</si>
  <si>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</si>
  <si>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</si>
  <si>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</si>
  <si>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Team 10</t>
  </si>
  <si>
    <t xml:space="preserve">Ghost </t>
  </si>
  <si>
    <t xml:space="preserve">Christian </t>
  </si>
  <si>
    <t>Jörg</t>
  </si>
  <si>
    <t xml:space="preserve">Ferdie </t>
  </si>
  <si>
    <t>Mel</t>
  </si>
  <si>
    <t>Luigi</t>
  </si>
  <si>
    <t>cvvv</t>
  </si>
  <si>
    <t>Birgit</t>
  </si>
  <si>
    <t>Mittwochsliga Saison 2026/2027</t>
  </si>
  <si>
    <t xml:space="preserve">Adam </t>
  </si>
  <si>
    <t>524+600</t>
  </si>
  <si>
    <t>Peter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</si>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</sst>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[$-407]dd&quot;.&quot;mm&quot;.&quot;yyyy"/>
    <numFmt numFmtId="165" formatCode="#"/>
    <numFmt numFmtId="166" formatCode="[$-407]#,##0"/>
    <numFmt numFmtId="167" formatCode="0.000"/>
  </numFmts>
  <fonts count="4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8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3"/>
      <color rgb="FF000000"/>
      <name val="Calibri"/>
      <family val="2"/>
    </font>
    <font>
      <b/>
      <sz val="16"/>
      <color theme="9" tint="-0.499984740745262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24"/>
      <color theme="1"/>
      <name val="Calibri"/>
      <family val="2"/>
      <scheme val="minor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8"/>
      <name val="Calibri"/>
      <family val="2"/>
    </font>
    <font>
      <b/>
      <sz val="7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rgb="FF000000"/>
      <name val="Calibri"/>
      <family val="2"/>
    </font>
    <font>
      <sz val="24"/>
      <color theme="1"/>
      <name val="Calibri"/>
      <family val="2"/>
      <scheme val="minor"/>
    </font>
    <font>
      <sz val="24"/>
      <color indexed="8"/>
      <name val="Calibri"/>
      <family val="2"/>
    </font>
    <font>
      <sz val="8"/>
      <color indexed="8"/>
      <name val="Calibri"/>
      <family val="2"/>
    </font>
    <font>
      <sz val="12"/>
      <color indexed="8"/>
      <name val="Calibri"/>
      <family val="2"/>
    </font>
    <font>
      <b/>
      <sz val="14"/>
      <color theme="1"/>
      <name val="Calibri"/>
      <scheme val="minor"/>
    </font>
    <font>
      <sz val="7"/>
      <color indexed="8"/>
      <name val="Calibri"/>
      <family val="2"/>
    </font>
    <font>
      <sz val="24"/>
      <color theme="1"/>
      <name val="Calibri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b/>
      <sz val="18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39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1" fontId="4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6" fontId="8" fillId="0" borderId="11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" fontId="14" fillId="0" borderId="13" xfId="0" applyNumberFormat="1" applyFont="1" applyBorder="1" applyAlignment="1">
      <alignment vertical="center"/>
    </xf>
    <xf numFmtId="1" fontId="15" fillId="0" borderId="14" xfId="0" applyNumberFormat="1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8" fontId="19" fillId="0" borderId="0" xfId="0" applyNumberFormat="1" applyFont="1" applyAlignment="1">
      <alignment vertical="center"/>
    </xf>
    <xf numFmtId="1" fontId="14" fillId="0" borderId="16" xfId="0" applyNumberFormat="1" applyFont="1" applyBorder="1" applyAlignment="1">
      <alignment vertical="center"/>
    </xf>
    <xf numFmtId="1" fontId="16" fillId="0" borderId="17" xfId="0" applyNumberFormat="1" applyFont="1" applyBorder="1" applyAlignment="1">
      <alignment vertical="center"/>
    </xf>
    <xf numFmtId="14" fontId="16" fillId="0" borderId="17" xfId="0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14" fontId="17" fillId="0" borderId="18" xfId="0" applyNumberFormat="1" applyFont="1" applyBorder="1" applyAlignment="1">
      <alignment vertical="center"/>
    </xf>
    <xf numFmtId="1" fontId="20" fillId="0" borderId="14" xfId="0" applyNumberFormat="1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1" fontId="18" fillId="0" borderId="17" xfId="0" applyNumberFormat="1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1" fillId="5" borderId="0" xfId="0" applyFont="1" applyFill="1" applyAlignment="1">
      <alignment vertical="center"/>
    </xf>
    <xf numFmtId="1" fontId="22" fillId="5" borderId="0" xfId="0" applyNumberFormat="1" applyFont="1" applyFill="1" applyAlignment="1">
      <alignment vertical="center"/>
    </xf>
    <xf numFmtId="1" fontId="19" fillId="5" borderId="0" xfId="0" applyNumberFormat="1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1" fontId="9" fillId="0" borderId="0" xfId="0" applyNumberFormat="1" applyFont="1" applyAlignment="1">
      <alignment horizontal="center" vertical="center" textRotation="90"/>
    </xf>
    <xf numFmtId="1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textRotation="90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textRotation="90"/>
    </xf>
    <xf numFmtId="0" fontId="25" fillId="0" borderId="0" xfId="0" applyFont="1" applyAlignment="1">
      <alignment vertical="center"/>
    </xf>
    <xf numFmtId="0" fontId="0" fillId="0" borderId="19" xfId="0" applyBorder="1" applyAlignment="1">
      <alignment vertical="center"/>
    </xf>
    <xf numFmtId="0" fontId="27" fillId="0" borderId="19" xfId="0" applyFont="1" applyBorder="1" applyAlignment="1">
      <alignment vertical="center" shrinkToFit="1"/>
    </xf>
    <xf numFmtId="1" fontId="14" fillId="0" borderId="19" xfId="0" applyNumberFormat="1" applyFont="1" applyBorder="1" applyAlignment="1">
      <alignment horizontal="center" vertical="center" shrinkToFit="1"/>
    </xf>
    <xf numFmtId="1" fontId="18" fillId="0" borderId="19" xfId="0" applyNumberFormat="1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0" fillId="3" borderId="19" xfId="0" applyFill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vertical="center"/>
    </xf>
    <xf numFmtId="1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20" xfId="0" applyBorder="1" applyAlignment="1">
      <alignment vertical="center"/>
    </xf>
    <xf numFmtId="0" fontId="28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19" fillId="0" borderId="21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center"/>
    </xf>
    <xf numFmtId="0" fontId="19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30" fillId="0" borderId="0" xfId="0" applyFont="1" applyAlignment="1">
      <alignment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30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31" fillId="0" borderId="19" xfId="0" applyFont="1" applyBorder="1" applyAlignment="1">
      <alignment horizontal="center" vertical="center"/>
    </xf>
    <xf numFmtId="0" fontId="32" fillId="0" borderId="19" xfId="0" applyFont="1" applyBorder="1" applyAlignment="1">
      <alignment vertical="center" wrapText="1"/>
    </xf>
    <xf numFmtId="0" fontId="27" fillId="0" borderId="26" xfId="0" applyFont="1" applyBorder="1" applyAlignment="1">
      <alignment vertical="center"/>
    </xf>
    <xf numFmtId="1" fontId="14" fillId="0" borderId="26" xfId="0" applyNumberFormat="1" applyFont="1" applyBorder="1" applyAlignment="1">
      <alignment horizontal="center" vertical="center" shrinkToFit="1"/>
    </xf>
    <xf numFmtId="1" fontId="14" fillId="0" borderId="26" xfId="0" applyNumberFormat="1" applyFont="1" applyBorder="1" applyAlignment="1">
      <alignment vertical="center"/>
    </xf>
    <xf numFmtId="1" fontId="18" fillId="0" borderId="19" xfId="0" applyNumberFormat="1" applyFont="1" applyBorder="1" applyAlignment="1">
      <alignment horizontal="center" vertical="center"/>
    </xf>
    <xf numFmtId="1" fontId="14" fillId="0" borderId="19" xfId="0" applyNumberFormat="1" applyFont="1" applyBorder="1" applyAlignment="1">
      <alignment vertical="center"/>
    </xf>
    <xf numFmtId="1" fontId="31" fillId="0" borderId="19" xfId="0" applyNumberFormat="1" applyFont="1" applyBorder="1" applyAlignment="1">
      <alignment horizontal="center" vertical="center"/>
    </xf>
    <xf numFmtId="0" fontId="33" fillId="0" borderId="19" xfId="0" applyFont="1" applyBorder="1" applyAlignment="1">
      <alignment vertical="center"/>
    </xf>
    <xf numFmtId="0" fontId="0" fillId="3" borderId="0" xfId="0" applyFill="1" applyBorder="1" applyAlignment="1">
      <alignment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2" fontId="35" fillId="0" borderId="0" xfId="0" applyNumberFormat="1" applyFont="1" applyAlignment="1">
      <alignment horizontal="center"/>
    </xf>
    <xf numFmtId="1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6" borderId="2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36" fillId="6" borderId="22" xfId="0" applyNumberFormat="1" applyFont="1" applyFill="1" applyBorder="1" applyAlignment="1">
      <alignment horizontal="center"/>
    </xf>
    <xf numFmtId="0" fontId="37" fillId="0" borderId="0" xfId="0" applyFont="1" applyAlignment="1">
      <alignment horizontal="right" vertical="center" wrapText="1"/>
    </xf>
    <xf numFmtId="0" fontId="37" fillId="0" borderId="0" xfId="0" applyFont="1" applyAlignment="1">
      <alignment horizontal="center" vertical="center" wrapText="1"/>
    </xf>
    <xf numFmtId="14" fontId="37" fillId="0" borderId="0" xfId="0" applyNumberFormat="1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right" vertical="center" wrapText="1"/>
    </xf>
    <xf numFmtId="14" fontId="38" fillId="0" borderId="0" xfId="0" applyNumberFormat="1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" fillId="0" borderId="0" xfId="0" applyFont="1" applyAlignment="1"/>
    <xf numFmtId="0" fontId="18" fillId="0" borderId="0" xfId="0" applyFont="1"/>
    <xf numFmtId="0" fontId="36" fillId="0" borderId="0" xfId="0" applyFont="1" applyAlignment="1">
      <alignment horizontal="center"/>
    </xf>
    <xf numFmtId="2" fontId="3" fillId="0" borderId="0" xfId="0" applyNumberFormat="1" applyFont="1"/>
    <xf numFmtId="12" fontId="3" fillId="0" borderId="0" xfId="1" applyNumberFormat="1" applyFont="1" applyAlignment="1"/>
    <xf numFmtId="0" fontId="32" fillId="0" borderId="20" xfId="0" applyFont="1" applyBorder="1" applyAlignment="1">
      <alignment vertical="center" wrapText="1"/>
    </xf>
    <xf numFmtId="1" fontId="14" fillId="0" borderId="19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0" fillId="0" borderId="23" xfId="0" applyBorder="1" applyAlignment="1">
      <alignment vertical="center"/>
    </xf>
    <xf numFmtId="0" fontId="19" fillId="0" borderId="19" xfId="0" applyFont="1" applyBorder="1" applyAlignment="1">
      <alignment vertical="center"/>
    </xf>
    <xf numFmtId="2" fontId="3" fillId="0" borderId="0" xfId="1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26" xfId="0" applyBorder="1" applyAlignment="1">
      <alignment vertical="center"/>
    </xf>
    <xf numFmtId="0" fontId="0" fillId="3" borderId="20" xfId="0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2"/>
  <sheetViews>
    <sheetView topLeftCell="A91" workbookViewId="0">
      <selection activeCell="A91" sqref="A1:XFD1048576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1</v>
      </c>
      <c r="F2" s="5" t="s">
        <v>1</v>
      </c>
      <c r="G2" s="7">
        <v>46267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165.4047619047619</v>
      </c>
      <c r="E5" s="3">
        <f t="shared" ref="E5:E10" si="0">SUM(200-D5)*0.8</f>
        <v>27.676190476190484</v>
      </c>
      <c r="F5" s="1">
        <f>81+3</f>
        <v>84</v>
      </c>
      <c r="G5" s="1">
        <f>13406+488</f>
        <v>13894</v>
      </c>
      <c r="H5" s="3">
        <f>16014+584</f>
        <v>16598</v>
      </c>
      <c r="I5" s="2">
        <f>SUM(H5)/F5</f>
        <v>197.5952380952381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178.61290322580646</v>
      </c>
      <c r="E6" s="3">
        <f t="shared" si="0"/>
        <v>17.109677419354831</v>
      </c>
      <c r="F6" s="1">
        <f>93</f>
        <v>93</v>
      </c>
      <c r="G6" s="1">
        <f>16611</f>
        <v>16611</v>
      </c>
      <c r="H6" s="3">
        <f>18506</f>
        <v>18506</v>
      </c>
      <c r="I6" s="2">
        <f>SUM(H6)/F6</f>
        <v>198.98924731182797</v>
      </c>
      <c r="J6" s="1">
        <v>678</v>
      </c>
      <c r="K6" s="1">
        <v>732</v>
      </c>
      <c r="L6" s="1">
        <v>256</v>
      </c>
      <c r="M6" s="1">
        <v>280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154.08064516129033</v>
      </c>
      <c r="E8" s="3">
        <f t="shared" si="0"/>
        <v>36.735483870967734</v>
      </c>
      <c r="F8" s="1">
        <f>59+3</f>
        <v>62</v>
      </c>
      <c r="G8" s="1">
        <f>9150+403</f>
        <v>9553</v>
      </c>
      <c r="H8" s="3">
        <f>11231+511</f>
        <v>11742</v>
      </c>
      <c r="I8" s="2">
        <f>SUM(H8)/F8</f>
        <v>189.38709677419354</v>
      </c>
      <c r="J8" s="1">
        <v>403</v>
      </c>
      <c r="K8" s="1">
        <v>511</v>
      </c>
      <c r="L8" s="1">
        <v>144</v>
      </c>
      <c r="M8" s="1">
        <v>180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188.8095238095238</v>
      </c>
      <c r="E9" s="3">
        <f t="shared" si="0"/>
        <v>8.9523809523809632</v>
      </c>
      <c r="F9" s="1">
        <f>102+3</f>
        <v>105</v>
      </c>
      <c r="G9" s="1">
        <f>19257+568</f>
        <v>19825</v>
      </c>
      <c r="H9" s="3">
        <f>20034+595</f>
        <v>20629</v>
      </c>
      <c r="I9" s="2">
        <f>SUM(H9)/F9</f>
        <v>196.46666666666667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171.83333333333334</v>
      </c>
      <c r="E10" s="3">
        <f t="shared" si="0"/>
        <v>22.533333333333328</v>
      </c>
      <c r="F10" s="1">
        <f>75+3</f>
        <v>78</v>
      </c>
      <c r="G10" s="1">
        <f>12761+642</f>
        <v>13403</v>
      </c>
      <c r="H10" s="3">
        <f>15264+714</f>
        <v>15978</v>
      </c>
      <c r="I10" s="2">
        <f>SUM(H10)/F10</f>
        <v>204.84615384615384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>
        <f>SUM(G11)/F11</f>
        <v>162.39285714285714</v>
      </c>
      <c r="F11" s="1">
        <f>28</f>
        <v>28</v>
      </c>
      <c r="G11" s="1">
        <f>4547</f>
        <v>4547</v>
      </c>
      <c r="H11" s="3">
        <f>5163</f>
        <v>5163</v>
      </c>
      <c r="I11" s="2">
        <f>SUM(H11)/F11</f>
        <v>184.39285714285714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172.96222222222221</v>
      </c>
      <c r="E13" s="10"/>
      <c r="F13" s="5">
        <f>SUM(F5:F12)</f>
        <v>450</v>
      </c>
      <c r="G13" s="15">
        <f>SUM(G5:G12)</f>
        <v>77833</v>
      </c>
      <c r="H13" s="10">
        <f>SUM(H5:H12)</f>
        <v>88616</v>
      </c>
      <c r="I13" s="8">
        <f>SUM(H13)/F13</f>
        <v>196.92444444444445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3" si="1">SUM(G17)/F17</f>
        <v>184.27083333333334</v>
      </c>
      <c r="E17" s="3">
        <f t="shared" ref="E17:E22" si="2">SUM(200-D17)*0.8</f>
        <v>12.583333333333327</v>
      </c>
      <c r="F17" s="1">
        <f>93+3</f>
        <v>96</v>
      </c>
      <c r="G17" s="1">
        <f>17166+524</f>
        <v>17690</v>
      </c>
      <c r="H17" s="3">
        <f>18348+560</f>
        <v>18908</v>
      </c>
      <c r="I17" s="2">
        <v>192.66</v>
      </c>
      <c r="J17" s="1">
        <v>524</v>
      </c>
      <c r="K17" s="1">
        <v>560</v>
      </c>
      <c r="L17" s="1">
        <v>180</v>
      </c>
      <c r="M17" s="1">
        <v>192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149.19999999999999</v>
      </c>
      <c r="E18" s="3">
        <f t="shared" si="2"/>
        <v>40.640000000000015</v>
      </c>
      <c r="F18" s="1">
        <f>57+3</f>
        <v>60</v>
      </c>
      <c r="G18" s="1">
        <f>8611+341</f>
        <v>8952</v>
      </c>
      <c r="H18" s="3">
        <f>10789+458</f>
        <v>11247</v>
      </c>
      <c r="I18" s="2">
        <v>192.9111111111111</v>
      </c>
      <c r="J18" s="1">
        <v>341</v>
      </c>
      <c r="K18" s="1">
        <v>458</v>
      </c>
      <c r="L18" s="1">
        <v>122</v>
      </c>
      <c r="M18" s="1">
        <v>161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168.52380952380952</v>
      </c>
      <c r="E19" s="3">
        <f t="shared" si="2"/>
        <v>25.180952380952387</v>
      </c>
      <c r="F19" s="1">
        <f>21</f>
        <v>21</v>
      </c>
      <c r="G19" s="1">
        <f>3539</f>
        <v>3539</v>
      </c>
      <c r="H19" s="3">
        <f>4052</f>
        <v>4052</v>
      </c>
      <c r="I19" s="2">
        <f>SUM(H19)/F19</f>
        <v>192.95238095238096</v>
      </c>
      <c r="J19" s="1">
        <v>544</v>
      </c>
      <c r="K19" s="1">
        <v>622</v>
      </c>
      <c r="L19" s="1">
        <v>210</v>
      </c>
      <c r="M19" s="1">
        <v>234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143.43137254901961</v>
      </c>
      <c r="E20" s="3">
        <f t="shared" si="2"/>
        <v>45.254901960784309</v>
      </c>
      <c r="F20" s="1">
        <f>99+3</f>
        <v>102</v>
      </c>
      <c r="G20" s="1">
        <f>14326+304</f>
        <v>14630</v>
      </c>
      <c r="H20" s="3">
        <f>18808+436</f>
        <v>19244</v>
      </c>
      <c r="I20" s="2">
        <f>SUM(H20)/F20</f>
        <v>188.66666666666666</v>
      </c>
      <c r="J20" s="1">
        <v>304</v>
      </c>
      <c r="K20" s="1">
        <v>436</v>
      </c>
      <c r="L20" s="1">
        <v>111</v>
      </c>
      <c r="M20" s="1">
        <v>155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149.34444444444443</v>
      </c>
      <c r="E21" s="3">
        <f t="shared" si="2"/>
        <v>40.524444444444455</v>
      </c>
      <c r="F21" s="1">
        <f>87+3</f>
        <v>90</v>
      </c>
      <c r="G21" s="1">
        <f>13028+413</f>
        <v>13441</v>
      </c>
      <c r="H21" s="3">
        <f>16637+533</f>
        <v>17170</v>
      </c>
      <c r="I21" s="2">
        <f>SUM(H21)/F21</f>
        <v>190.77777777777777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178.51111111111112</v>
      </c>
      <c r="E22" s="3">
        <f t="shared" si="2"/>
        <v>17.191111111111105</v>
      </c>
      <c r="F22" s="1">
        <f>90</f>
        <v>90</v>
      </c>
      <c r="G22" s="1">
        <f>16066</f>
        <v>16066</v>
      </c>
      <c r="H22" s="3">
        <f>17575</f>
        <v>17575</v>
      </c>
      <c r="I22" s="2">
        <f>SUM(H22)/F22</f>
        <v>195.27777777777777</v>
      </c>
      <c r="J22" s="1">
        <v>627</v>
      </c>
      <c r="K22" s="1">
        <v>675</v>
      </c>
      <c r="L22" s="1">
        <v>241</v>
      </c>
      <c r="M22" s="1">
        <v>257</v>
      </c>
    </row>
    <row r="23" spans="1:17" x14ac:dyDescent="0.35">
      <c r="C23" s="4" t="s">
        <v>21</v>
      </c>
      <c r="D23" s="2">
        <f t="shared" si="1"/>
        <v>404.5</v>
      </c>
      <c r="F23" s="1">
        <f>18</f>
        <v>18</v>
      </c>
      <c r="G23" s="1">
        <f>7281</f>
        <v>7281</v>
      </c>
      <c r="H23" s="3">
        <f>3294</f>
        <v>3294</v>
      </c>
      <c r="I23" s="2">
        <f>SUM(H23)/F23</f>
        <v>183</v>
      </c>
    </row>
    <row r="24" spans="1:17" x14ac:dyDescent="0.35">
      <c r="C24" s="4"/>
      <c r="F24" s="12"/>
      <c r="G24" s="12"/>
      <c r="H24" s="13"/>
    </row>
    <row r="25" spans="1:17" x14ac:dyDescent="0.35">
      <c r="C25" s="14" t="s">
        <v>22</v>
      </c>
      <c r="D25" s="8">
        <f>SUM(G25)/F25</f>
        <v>171.0670859538784</v>
      </c>
      <c r="E25" s="10"/>
      <c r="F25" s="5">
        <f>SUM(F17:F23)</f>
        <v>477</v>
      </c>
      <c r="G25" s="15">
        <f>SUM(G17:G24)</f>
        <v>81599</v>
      </c>
      <c r="H25" s="10">
        <f>SUM(H17:H24)</f>
        <v>91490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3">SUM(G29)/F29</f>
        <v>178.5</v>
      </c>
      <c r="E29" s="3">
        <f>SUM(200-D29)*0.8</f>
        <v>17.2</v>
      </c>
      <c r="F29" s="1">
        <f>87+3</f>
        <v>90</v>
      </c>
      <c r="G29" s="1">
        <f>15512+553</f>
        <v>16065</v>
      </c>
      <c r="H29" s="3">
        <f>17093+604</f>
        <v>17697</v>
      </c>
      <c r="I29" s="2">
        <f t="shared" ref="I29:I34" si="4">SUM(H29)/F29</f>
        <v>196.63333333333333</v>
      </c>
      <c r="J29" s="1">
        <v>553</v>
      </c>
      <c r="K29" s="1">
        <v>604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3"/>
        <v>102.66666666666667</v>
      </c>
      <c r="E30" s="3">
        <v>64</v>
      </c>
      <c r="F30" s="1">
        <f>3</f>
        <v>3</v>
      </c>
      <c r="G30" s="1">
        <v>308</v>
      </c>
      <c r="H30" s="3">
        <v>500</v>
      </c>
      <c r="I30" s="2">
        <f t="shared" si="4"/>
        <v>166.66666666666666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3"/>
        <v>110.66666666666667</v>
      </c>
      <c r="E31" s="3">
        <v>64</v>
      </c>
      <c r="F31" s="1">
        <f>3</f>
        <v>3</v>
      </c>
      <c r="G31" s="1">
        <v>332</v>
      </c>
      <c r="H31" s="3">
        <v>524</v>
      </c>
      <c r="I31" s="2">
        <f t="shared" si="4"/>
        <v>174.66666666666666</v>
      </c>
      <c r="J31" s="1">
        <v>332</v>
      </c>
      <c r="K31" s="1">
        <v>524</v>
      </c>
      <c r="L31" s="1">
        <v>136</v>
      </c>
      <c r="M31" s="1">
        <v>200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3"/>
        <v>201.92</v>
      </c>
      <c r="E32" s="3">
        <f>SUM(200-D32)*0.8</f>
        <v>-1.53599999999999</v>
      </c>
      <c r="F32" s="1">
        <f>72+3</f>
        <v>75</v>
      </c>
      <c r="G32" s="1">
        <f>14572+572</f>
        <v>15144</v>
      </c>
      <c r="H32" s="3">
        <f>14596+572</f>
        <v>15168</v>
      </c>
      <c r="I32" s="2">
        <f t="shared" si="4"/>
        <v>202.24</v>
      </c>
      <c r="J32" s="1">
        <v>572</v>
      </c>
      <c r="K32" s="1">
        <v>572</v>
      </c>
      <c r="L32" s="1">
        <v>194</v>
      </c>
      <c r="M32" s="1">
        <v>194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3"/>
        <v>200.53703703703704</v>
      </c>
      <c r="E33" s="3">
        <f>SUM(200-D33)*0.8</f>
        <v>-0.42962962962963047</v>
      </c>
      <c r="F33" s="1">
        <f>54</f>
        <v>54</v>
      </c>
      <c r="G33" s="1">
        <f>10829</f>
        <v>10829</v>
      </c>
      <c r="H33" s="3">
        <f>10984</f>
        <v>10984</v>
      </c>
      <c r="I33" s="2">
        <f t="shared" si="4"/>
        <v>203.40740740740742</v>
      </c>
      <c r="J33" s="1">
        <v>690</v>
      </c>
      <c r="K33" s="1">
        <v>693</v>
      </c>
      <c r="L33" s="1">
        <v>278</v>
      </c>
      <c r="M33" s="1">
        <v>279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3"/>
        <v>203.74509803921569</v>
      </c>
      <c r="E34" s="3">
        <f>SUM(200-D34)*0.8</f>
        <v>-2.9960784313725526</v>
      </c>
      <c r="F34" s="1">
        <f>51</f>
        <v>51</v>
      </c>
      <c r="G34" s="1">
        <f>10391</f>
        <v>10391</v>
      </c>
      <c r="H34" s="3">
        <f>10445</f>
        <v>10445</v>
      </c>
      <c r="I34" s="2">
        <f t="shared" si="4"/>
        <v>204.80392156862746</v>
      </c>
      <c r="J34" s="1">
        <v>679</v>
      </c>
      <c r="K34" s="1">
        <v>692</v>
      </c>
      <c r="L34" s="1">
        <v>258</v>
      </c>
      <c r="M34" s="1">
        <v>263</v>
      </c>
    </row>
    <row r="35" spans="1:13" x14ac:dyDescent="0.35">
      <c r="C35" s="4" t="s">
        <v>21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192.27898550724638</v>
      </c>
      <c r="E37" s="10"/>
      <c r="F37" s="5">
        <f>SUM(F29:F36)</f>
        <v>276</v>
      </c>
      <c r="G37" s="5">
        <f>SUM(G29:G36)</f>
        <v>53069</v>
      </c>
      <c r="H37" s="16">
        <f>SUM(H29:H36)</f>
        <v>55318</v>
      </c>
      <c r="I37" s="8">
        <f>SUM(H37)/F37</f>
        <v>200.42753623188406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>SUM(G42)/F42</f>
        <v>175.72222222222223</v>
      </c>
      <c r="E42" s="3">
        <f>SUM(200-D42)*0.8</f>
        <v>19.422222222222217</v>
      </c>
      <c r="F42" s="1">
        <f>105+3</f>
        <v>108</v>
      </c>
      <c r="G42" s="1">
        <f>18432+546</f>
        <v>18978</v>
      </c>
      <c r="H42" s="3">
        <f>20790+606</f>
        <v>21396</v>
      </c>
      <c r="I42" s="2">
        <f>SUM(H42)/F42</f>
        <v>198.11111111111111</v>
      </c>
      <c r="J42" s="1">
        <v>546</v>
      </c>
      <c r="K42" s="1">
        <v>606</v>
      </c>
      <c r="L42" s="1">
        <v>178</v>
      </c>
      <c r="M42" s="1">
        <v>214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>SUM(G43)/F43</f>
        <v>165.64</v>
      </c>
      <c r="E43" s="3">
        <f>SUM(200-D43)*0.8</f>
        <v>27.488000000000014</v>
      </c>
      <c r="F43" s="1">
        <f>72+3</f>
        <v>75</v>
      </c>
      <c r="G43" s="1">
        <f>11948+475</f>
        <v>12423</v>
      </c>
      <c r="H43" s="3">
        <f>13949+556</f>
        <v>14505</v>
      </c>
      <c r="I43" s="2">
        <f>SUM(H43)/F43</f>
        <v>193.4</v>
      </c>
      <c r="J43" s="1">
        <v>475</v>
      </c>
      <c r="K43" s="1">
        <v>556</v>
      </c>
      <c r="L43" s="1">
        <v>178</v>
      </c>
      <c r="M43" s="1">
        <v>205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>SUM(G44)/F44</f>
        <v>168.43333333333334</v>
      </c>
      <c r="E44" s="3">
        <f>SUM(200-D44)*0.8</f>
        <v>25.25333333333333</v>
      </c>
      <c r="F44" s="1">
        <f>87+3</f>
        <v>90</v>
      </c>
      <c r="G44" s="1">
        <f>14675+484</f>
        <v>15159</v>
      </c>
      <c r="H44" s="3">
        <f>17348+559</f>
        <v>17907</v>
      </c>
      <c r="I44" s="2">
        <f>SUM(H44)/F44</f>
        <v>198.96666666666667</v>
      </c>
      <c r="J44" s="1">
        <v>484</v>
      </c>
      <c r="K44" s="1">
        <v>559</v>
      </c>
      <c r="L44" s="1">
        <v>170</v>
      </c>
      <c r="M44" s="1">
        <v>195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>SUM(G45)/F45</f>
        <v>175.67708333333334</v>
      </c>
      <c r="E45" s="3">
        <f>SUM(200-D45)*0.8</f>
        <v>19.458333333333329</v>
      </c>
      <c r="F45" s="1">
        <f>93+3</f>
        <v>96</v>
      </c>
      <c r="G45" s="1">
        <f>16413+452</f>
        <v>16865</v>
      </c>
      <c r="H45" s="3">
        <f>18081+509</f>
        <v>18590</v>
      </c>
      <c r="I45" s="2">
        <f>SUM(H45)/F45</f>
        <v>193.64583333333334</v>
      </c>
      <c r="J45" s="1">
        <v>452</v>
      </c>
      <c r="K45" s="1">
        <v>509</v>
      </c>
      <c r="L45" s="1">
        <v>155</v>
      </c>
      <c r="M45" s="1">
        <v>174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>SUM(G46)/F46</f>
        <v>150.84126984126985</v>
      </c>
      <c r="E46" s="3">
        <f>SUM(200-D46)*0.8</f>
        <v>39.326984126984122</v>
      </c>
      <c r="F46" s="1">
        <f>63</f>
        <v>63</v>
      </c>
      <c r="G46" s="1">
        <f>9503</f>
        <v>9503</v>
      </c>
      <c r="H46" s="1">
        <f>12113</f>
        <v>12113</v>
      </c>
      <c r="I46" s="4">
        <f t="shared" ref="I46:I51" si="5">SUM(H46)/F46</f>
        <v>192.26984126984127</v>
      </c>
      <c r="J46" s="1">
        <v>564</v>
      </c>
      <c r="K46" s="1">
        <v>690</v>
      </c>
      <c r="L46" s="1">
        <v>212</v>
      </c>
      <c r="M46" s="1">
        <v>254</v>
      </c>
    </row>
    <row r="47" spans="1:13" ht="23.25" customHeight="1" x14ac:dyDescent="0.35"/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>
        <f>SUM(G50)/F50</f>
        <v>147.6</v>
      </c>
      <c r="F50" s="1">
        <f>45</f>
        <v>45</v>
      </c>
      <c r="G50" s="1">
        <f>6642</f>
        <v>6642</v>
      </c>
      <c r="H50" s="3">
        <f>8161</f>
        <v>8161</v>
      </c>
      <c r="I50" s="2">
        <f t="shared" si="5"/>
        <v>181.35555555555555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166.81341719077568</v>
      </c>
      <c r="E51" s="10"/>
      <c r="F51" s="5">
        <f>SUM(F42:F50)</f>
        <v>477</v>
      </c>
      <c r="G51" s="5">
        <f>SUM(G41:G50)</f>
        <v>79570</v>
      </c>
      <c r="H51" s="16">
        <f>SUM(H41:H50)</f>
        <v>92672</v>
      </c>
      <c r="I51" s="8">
        <f t="shared" si="5"/>
        <v>194.28092243186583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155.74358974358975</v>
      </c>
      <c r="E59" s="3">
        <f>SUM(200-D59)*0.8</f>
        <v>35.4051282051282</v>
      </c>
      <c r="F59" s="1">
        <f>36+3</f>
        <v>39</v>
      </c>
      <c r="G59" s="1">
        <f>5633+441</f>
        <v>6074</v>
      </c>
      <c r="H59" s="3">
        <f>6904+546</f>
        <v>7450</v>
      </c>
      <c r="I59" s="2">
        <f>SUM(H59)/F59</f>
        <v>191.02564102564102</v>
      </c>
      <c r="J59" s="1">
        <v>441</v>
      </c>
      <c r="K59" s="1">
        <v>546</v>
      </c>
      <c r="L59" s="1">
        <v>167</v>
      </c>
      <c r="M59" s="1">
        <v>202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106.33333333333333</v>
      </c>
      <c r="E61" s="3">
        <v>64</v>
      </c>
      <c r="F61" s="1">
        <f>3</f>
        <v>3</v>
      </c>
      <c r="G61" s="1">
        <v>319</v>
      </c>
      <c r="H61" s="3">
        <v>511</v>
      </c>
      <c r="I61" s="2">
        <f>SUM(H61)/F61</f>
        <v>170.33333333333334</v>
      </c>
      <c r="J61" s="1">
        <v>319</v>
      </c>
      <c r="K61" s="1">
        <v>511</v>
      </c>
      <c r="L61" s="1">
        <v>124</v>
      </c>
      <c r="M61" s="1">
        <v>188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118</v>
      </c>
      <c r="E62" s="3">
        <f>SUM(200-D62)*0.8</f>
        <v>65.600000000000009</v>
      </c>
      <c r="F62" s="1">
        <f>3</f>
        <v>3</v>
      </c>
      <c r="G62" s="1">
        <f>354</f>
        <v>354</v>
      </c>
      <c r="H62" s="3">
        <v>546</v>
      </c>
      <c r="I62" s="2">
        <f>SUM(H62)/F62</f>
        <v>182</v>
      </c>
      <c r="J62" s="1">
        <v>354</v>
      </c>
      <c r="K62" s="1">
        <v>546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144.42857142857142</v>
      </c>
      <c r="E63" s="3">
        <f>SUM(200-D63)*0.8</f>
        <v>44.45714285714287</v>
      </c>
      <c r="F63" s="1">
        <f>21</f>
        <v>21</v>
      </c>
      <c r="G63" s="1">
        <f>3033</f>
        <v>3033</v>
      </c>
      <c r="H63" s="3">
        <f>3951</f>
        <v>3951</v>
      </c>
      <c r="I63" s="2">
        <f>SUM(H63)/F63</f>
        <v>188.14285714285714</v>
      </c>
      <c r="J63" s="1">
        <v>465</v>
      </c>
      <c r="K63" s="1">
        <v>603</v>
      </c>
      <c r="L63" s="1">
        <v>179</v>
      </c>
      <c r="M63" s="1">
        <v>225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173.50213675213675</v>
      </c>
      <c r="E68" s="10"/>
      <c r="F68" s="5">
        <f>SUM(F33:F66)</f>
        <v>1404</v>
      </c>
      <c r="G68" s="5">
        <f>SUM(G33:G66)</f>
        <v>243597</v>
      </c>
      <c r="H68" s="10">
        <f>SUM(H33:H66)</f>
        <v>275108</v>
      </c>
      <c r="I68" s="8">
        <f>SUM(H68)/F68</f>
        <v>195.94586894586894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153.06896551724137</v>
      </c>
      <c r="E72" s="3">
        <f>SUM(200-D72)*0.8</f>
        <v>37.544827586206907</v>
      </c>
      <c r="F72" s="1">
        <f>84+3</f>
        <v>87</v>
      </c>
      <c r="G72" s="1">
        <f>12950+367</f>
        <v>13317</v>
      </c>
      <c r="H72" s="3">
        <f>16031+478</f>
        <v>16509</v>
      </c>
      <c r="I72" s="2">
        <f>SUM(H72)/F72</f>
        <v>189.75862068965517</v>
      </c>
      <c r="J72" s="1">
        <v>367</v>
      </c>
      <c r="K72" s="1">
        <v>478</v>
      </c>
      <c r="L72" s="1">
        <v>135</v>
      </c>
      <c r="M72" s="1">
        <v>172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161.60784313725489</v>
      </c>
      <c r="E73" s="3">
        <f>SUM(200-D73)*0.8</f>
        <v>30.71372549019609</v>
      </c>
      <c r="F73" s="1">
        <f>48+3</f>
        <v>51</v>
      </c>
      <c r="G73" s="1">
        <f>7831+411</f>
        <v>8242</v>
      </c>
      <c r="H73" s="3">
        <f>9247+498</f>
        <v>9745</v>
      </c>
      <c r="I73" s="2">
        <f>SUM(H73)/F73</f>
        <v>191.07843137254903</v>
      </c>
      <c r="J73" s="1">
        <v>411</v>
      </c>
      <c r="K73" s="1">
        <v>498</v>
      </c>
      <c r="L73" s="1">
        <v>144</v>
      </c>
      <c r="M73" s="1">
        <v>173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155.01666666666668</v>
      </c>
      <c r="E74" s="3">
        <f>SUM(200-D74)*0.8</f>
        <v>35.986666666666657</v>
      </c>
      <c r="F74" s="1">
        <f>57+3</f>
        <v>60</v>
      </c>
      <c r="G74" s="1">
        <f>8913+388</f>
        <v>9301</v>
      </c>
      <c r="H74" s="3">
        <f>11013+493</f>
        <v>11506</v>
      </c>
      <c r="I74" s="2">
        <f>SUM(H74)/F74</f>
        <v>191.76666666666668</v>
      </c>
      <c r="J74" s="1">
        <v>388</v>
      </c>
      <c r="K74" s="1">
        <v>493</v>
      </c>
      <c r="L74" s="1">
        <v>137</v>
      </c>
      <c r="M74" s="1">
        <v>172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161.63333333333333</v>
      </c>
      <c r="E75" s="3">
        <f>SUM(200-D75)*0.8</f>
        <v>30.693333333333342</v>
      </c>
      <c r="F75" s="1">
        <f>57+3</f>
        <v>60</v>
      </c>
      <c r="G75" s="1">
        <f>9225+473</f>
        <v>9698</v>
      </c>
      <c r="H75" s="3">
        <f>11268+566</f>
        <v>11834</v>
      </c>
      <c r="I75" s="2">
        <f>SUM(H75)/F75</f>
        <v>197.23333333333332</v>
      </c>
      <c r="J75" s="1">
        <v>473</v>
      </c>
      <c r="K75" s="1">
        <v>566</v>
      </c>
      <c r="L75" s="1">
        <v>168</v>
      </c>
      <c r="M75" s="1">
        <v>199</v>
      </c>
    </row>
    <row r="76" spans="1:18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1" t="s">
        <v>13</v>
      </c>
      <c r="B78" s="1">
        <v>7</v>
      </c>
      <c r="C78" s="4" t="s">
        <v>50</v>
      </c>
      <c r="D78" s="2">
        <f>SUM(G78)/F78</f>
        <v>126.04761904761905</v>
      </c>
      <c r="E78" s="3">
        <f>SUM(200-D78)*0.8</f>
        <v>59.161904761904765</v>
      </c>
      <c r="F78" s="1">
        <f>21</f>
        <v>21</v>
      </c>
      <c r="G78" s="1">
        <f>2647</f>
        <v>2647</v>
      </c>
      <c r="H78" s="3">
        <f>3808</f>
        <v>3808</v>
      </c>
      <c r="I78" s="2">
        <f>SUM(H78)/F78</f>
        <v>181.33333333333334</v>
      </c>
      <c r="J78" s="1">
        <v>424</v>
      </c>
      <c r="K78" s="1">
        <v>607</v>
      </c>
      <c r="L78" s="1">
        <v>163</v>
      </c>
      <c r="M78" s="1">
        <v>224</v>
      </c>
      <c r="O78" s="4">
        <f>SUM(200-D60)*0.8</f>
        <v>56.535999999999994</v>
      </c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152.65217391304347</v>
      </c>
      <c r="F80" s="1">
        <f>69</f>
        <v>69</v>
      </c>
      <c r="G80" s="1">
        <f>10533</f>
        <v>10533</v>
      </c>
      <c r="H80" s="3">
        <f>12630</f>
        <v>12630</v>
      </c>
      <c r="I80" s="2">
        <f>SUM(H80)/F80</f>
        <v>183.04347826086956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154.41954022988506</v>
      </c>
      <c r="E81" s="10"/>
      <c r="F81" s="5">
        <f>SUM(F72:F80)</f>
        <v>348</v>
      </c>
      <c r="G81" s="5">
        <f>SUM(G72:G80)</f>
        <v>53738</v>
      </c>
      <c r="H81" s="10">
        <f>SUM(H72:H80)</f>
        <v>66032</v>
      </c>
      <c r="I81" s="8">
        <f>SUM(H81)/F81</f>
        <v>189.7471264367816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6">SUM(G85)/F85</f>
        <v>169.625</v>
      </c>
      <c r="E85" s="3">
        <f t="shared" ref="E85:E90" si="7">SUM(200-D85)*0.8</f>
        <v>24.3</v>
      </c>
      <c r="F85" s="1">
        <f>45+3</f>
        <v>48</v>
      </c>
      <c r="G85" s="1">
        <f>7614+528</f>
        <v>8142</v>
      </c>
      <c r="H85" s="3">
        <f>8745+603</f>
        <v>9348</v>
      </c>
      <c r="I85" s="2">
        <f t="shared" ref="I85:I89" si="8">SUM(H85)/F85</f>
        <v>194.75</v>
      </c>
      <c r="J85" s="1">
        <v>528</v>
      </c>
      <c r="K85" s="1">
        <v>603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6"/>
        <v>150.30666666666667</v>
      </c>
      <c r="E86" s="3">
        <f t="shared" si="7"/>
        <v>39.754666666666665</v>
      </c>
      <c r="F86" s="1">
        <f>75</f>
        <v>75</v>
      </c>
      <c r="G86" s="1">
        <f>11273</f>
        <v>11273</v>
      </c>
      <c r="H86" s="3">
        <f>14292</f>
        <v>14292</v>
      </c>
      <c r="I86" s="2">
        <f>SUM(H86)/F86</f>
        <v>190.56</v>
      </c>
      <c r="J86" s="1">
        <v>580</v>
      </c>
      <c r="K86" s="1">
        <v>703</v>
      </c>
      <c r="L86" s="1">
        <v>224</v>
      </c>
      <c r="M86" s="1">
        <v>265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6"/>
        <v>164.46315789473684</v>
      </c>
      <c r="E87" s="3">
        <f t="shared" si="7"/>
        <v>28.429473684210532</v>
      </c>
      <c r="F87" s="1">
        <f>92+3</f>
        <v>95</v>
      </c>
      <c r="G87" s="1">
        <f>15135+489</f>
        <v>15624</v>
      </c>
      <c r="H87" s="3">
        <f>17788+573</f>
        <v>18361</v>
      </c>
      <c r="I87" s="2">
        <f t="shared" si="8"/>
        <v>193.27368421052631</v>
      </c>
      <c r="J87" s="1">
        <v>489</v>
      </c>
      <c r="K87" s="1">
        <v>573</v>
      </c>
      <c r="L87" s="1">
        <v>175</v>
      </c>
      <c r="M87" s="1">
        <v>203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167.5</v>
      </c>
      <c r="E88" s="3">
        <f>SUM(200-D88)*0.8</f>
        <v>26</v>
      </c>
      <c r="F88" s="1">
        <f>15+3</f>
        <v>18</v>
      </c>
      <c r="G88" s="1">
        <f>2527+488</f>
        <v>3015</v>
      </c>
      <c r="H88" s="3">
        <f>2887+563</f>
        <v>3450</v>
      </c>
      <c r="I88" s="2">
        <f>SUM(H88)/F88</f>
        <v>191.66666666666666</v>
      </c>
      <c r="J88" s="1">
        <v>488</v>
      </c>
      <c r="K88" s="1">
        <v>563</v>
      </c>
      <c r="L88" s="1">
        <v>173</v>
      </c>
      <c r="M88" s="1">
        <v>198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6"/>
        <v>165.96296296296296</v>
      </c>
      <c r="E89" s="3">
        <f t="shared" si="7"/>
        <v>27.229629629629631</v>
      </c>
      <c r="F89" s="1">
        <f>108</f>
        <v>108</v>
      </c>
      <c r="G89" s="1">
        <f>17924</f>
        <v>17924</v>
      </c>
      <c r="H89" s="3">
        <f>20714</f>
        <v>20714</v>
      </c>
      <c r="I89" s="2">
        <f t="shared" si="8"/>
        <v>191.7962962962963</v>
      </c>
      <c r="J89" s="1">
        <v>598</v>
      </c>
      <c r="K89" s="1">
        <v>679</v>
      </c>
      <c r="L89" s="1">
        <v>233</v>
      </c>
      <c r="M89" s="1">
        <v>258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6"/>
        <v>163.03809523809525</v>
      </c>
      <c r="E90" s="3">
        <f t="shared" si="7"/>
        <v>29.569523809523801</v>
      </c>
      <c r="F90" s="1">
        <f>102+3</f>
        <v>105</v>
      </c>
      <c r="G90" s="1">
        <f>16645+474</f>
        <v>17119</v>
      </c>
      <c r="H90" s="3">
        <f>19745+561</f>
        <v>20306</v>
      </c>
      <c r="I90" s="2">
        <f>SUM(H90)/F90</f>
        <v>193.39047619047619</v>
      </c>
      <c r="J90" s="1">
        <v>474</v>
      </c>
      <c r="K90" s="1">
        <v>561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6"/>
        <v>157.42857142857142</v>
      </c>
      <c r="F91" s="1">
        <f>7</f>
        <v>7</v>
      </c>
      <c r="G91" s="1">
        <f>1102</f>
        <v>1102</v>
      </c>
      <c r="H91" s="3">
        <f>1287</f>
        <v>1287</v>
      </c>
      <c r="I91" s="2" t="s">
        <v>224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162.71710526315789</v>
      </c>
      <c r="E93" s="10"/>
      <c r="F93" s="5">
        <f>SUM(F85:F91)</f>
        <v>456</v>
      </c>
      <c r="G93" s="5">
        <f>SUM(G85:G91)</f>
        <v>74199</v>
      </c>
      <c r="H93" s="10">
        <f>SUM(H85:H92)</f>
        <v>87758</v>
      </c>
      <c r="I93" s="8">
        <f>SUM(H93)/F93</f>
        <v>192.4517543859649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9">SUM(G96)/F96</f>
        <v>166.72839506172841</v>
      </c>
      <c r="E96" s="3">
        <f t="shared" ref="E96:E102" si="10">SUM(200-D96)*0.8</f>
        <v>26.617283950617278</v>
      </c>
      <c r="F96" s="1">
        <f>78+3</f>
        <v>81</v>
      </c>
      <c r="G96" s="1">
        <f>12867+638</f>
        <v>13505</v>
      </c>
      <c r="H96" s="3">
        <f>14961+722</f>
        <v>15683</v>
      </c>
      <c r="I96" s="2">
        <f>SUM(H96)/F96</f>
        <v>193.61728395061729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9"/>
        <v>162.58333333333334</v>
      </c>
      <c r="E97" s="3">
        <f t="shared" si="10"/>
        <v>29.933333333333326</v>
      </c>
      <c r="F97" s="1">
        <f>57+3</f>
        <v>60</v>
      </c>
      <c r="G97" s="1">
        <f>9344+411</f>
        <v>9755</v>
      </c>
      <c r="H97" s="3">
        <f>11063+498</f>
        <v>11561</v>
      </c>
      <c r="I97" s="2">
        <f>SUM(H97)/F97</f>
        <v>192.68333333333334</v>
      </c>
      <c r="J97" s="1">
        <v>411</v>
      </c>
      <c r="K97" s="1">
        <v>498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9"/>
        <v>174.77083333333334</v>
      </c>
      <c r="E98" s="3">
        <f t="shared" si="10"/>
        <v>20.183333333333326</v>
      </c>
      <c r="F98" s="1">
        <f>93+3</f>
        <v>96</v>
      </c>
      <c r="G98" s="1">
        <f>16353+425</f>
        <v>16778</v>
      </c>
      <c r="H98" s="3">
        <f>18132+482</f>
        <v>18614</v>
      </c>
      <c r="I98" s="2">
        <v>188.66</v>
      </c>
      <c r="J98" s="1">
        <v>425</v>
      </c>
      <c r="K98" s="1">
        <v>482</v>
      </c>
      <c r="L98" s="1">
        <v>171</v>
      </c>
      <c r="M98" s="1">
        <v>190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9"/>
        <v>166.4</v>
      </c>
      <c r="E99" s="3">
        <f t="shared" si="10"/>
        <v>26.879999999999995</v>
      </c>
      <c r="F99" s="1">
        <f>95</f>
        <v>95</v>
      </c>
      <c r="G99" s="1">
        <f>15808</f>
        <v>15808</v>
      </c>
      <c r="H99" s="3">
        <f>18146</f>
        <v>18146</v>
      </c>
      <c r="I99" s="2">
        <v>193.33</v>
      </c>
      <c r="J99" s="1">
        <v>598</v>
      </c>
      <c r="K99" s="1">
        <v>670</v>
      </c>
      <c r="L99" s="1">
        <v>244</v>
      </c>
      <c r="M99" s="1">
        <v>270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9"/>
        <v>178.66666666666666</v>
      </c>
      <c r="E100" s="3">
        <f t="shared" si="10"/>
        <v>17.066666666666674</v>
      </c>
      <c r="F100" s="1">
        <f>75</f>
        <v>75</v>
      </c>
      <c r="G100" s="1">
        <f>13400</f>
        <v>13400</v>
      </c>
      <c r="H100" s="3">
        <f>14615</f>
        <v>14615</v>
      </c>
      <c r="I100" s="2">
        <f>SUM(H100)/F100</f>
        <v>194.86666666666667</v>
      </c>
      <c r="J100" s="1">
        <v>580</v>
      </c>
      <c r="K100" s="1">
        <v>632</v>
      </c>
      <c r="L100" s="1">
        <v>246</v>
      </c>
      <c r="M100" s="1">
        <v>263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9"/>
        <v>172.45833333333334</v>
      </c>
      <c r="E101" s="3">
        <f t="shared" si="10"/>
        <v>22.033333333333328</v>
      </c>
      <c r="F101" s="1">
        <f>96</f>
        <v>96</v>
      </c>
      <c r="G101" s="1">
        <f>16556</f>
        <v>16556</v>
      </c>
      <c r="H101" s="3">
        <f>18690</f>
        <v>18690</v>
      </c>
      <c r="I101" s="2">
        <f>SUM(H101)/F101</f>
        <v>194.6875</v>
      </c>
      <c r="J101" s="1">
        <v>623</v>
      </c>
      <c r="K101" s="1">
        <v>689</v>
      </c>
      <c r="L101" s="1">
        <v>255</v>
      </c>
      <c r="M101" s="1">
        <v>281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9"/>
        <v>159.45555555555555</v>
      </c>
      <c r="E102" s="3">
        <f t="shared" si="10"/>
        <v>32.43555555555556</v>
      </c>
      <c r="F102" s="1">
        <f>87+3</f>
        <v>90</v>
      </c>
      <c r="G102" s="1">
        <f>13886+465</f>
        <v>14351</v>
      </c>
      <c r="H102" s="3">
        <f>17228+561</f>
        <v>17789</v>
      </c>
      <c r="I102" s="2">
        <f>SUM(H102)/F102</f>
        <v>197.65555555555557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147.80000000000001</v>
      </c>
      <c r="F104" s="1">
        <f>10</f>
        <v>10</v>
      </c>
      <c r="G104" s="1">
        <f>1478</f>
        <v>1478</v>
      </c>
      <c r="H104" s="3">
        <f>1732</f>
        <v>1732</v>
      </c>
      <c r="I104" s="2">
        <f>SUM(H104)/F104</f>
        <v>173.2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4"/>
      <c r="D107" s="4"/>
      <c r="E107" s="5" t="s">
        <v>71</v>
      </c>
      <c r="F107" s="8">
        <f>SUM(G93)/F93</f>
        <v>162.71710526315789</v>
      </c>
      <c r="G107" s="10"/>
      <c r="H107" s="5">
        <f>SUM(F96:F103)</f>
        <v>593</v>
      </c>
      <c r="I107" s="5">
        <f>SUM(G96:G103)</f>
        <v>100153</v>
      </c>
      <c r="J107" s="10">
        <f>SUM(H96:H103)</f>
        <v>115098</v>
      </c>
      <c r="K107" s="2">
        <f>SUM(J107)/H107</f>
        <v>194.09443507588531</v>
      </c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 t="shared" ref="D112:D117" si="11">SUM(G112)/F112</f>
        <v>177.91666666666666</v>
      </c>
      <c r="E112" s="3">
        <f>SUM(200-D112)*0.8</f>
        <v>17.666666666666675</v>
      </c>
      <c r="F112" s="1">
        <f>81+3</f>
        <v>84</v>
      </c>
      <c r="G112" s="1">
        <f>14420+525</f>
        <v>14945</v>
      </c>
      <c r="H112" s="3">
        <f>16128+579</f>
        <v>16707</v>
      </c>
      <c r="I112" s="2">
        <v>193.66</v>
      </c>
      <c r="J112" s="1">
        <v>525</v>
      </c>
      <c r="K112" s="1">
        <v>579</v>
      </c>
      <c r="L112" s="1">
        <v>190</v>
      </c>
      <c r="M112" s="1">
        <v>208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 t="shared" si="11"/>
        <v>166.93548387096774</v>
      </c>
      <c r="E113" s="3">
        <f>SUM(200-D113)*0.8</f>
        <v>26.451612903225808</v>
      </c>
      <c r="F113" s="1">
        <f>90+3</f>
        <v>93</v>
      </c>
      <c r="G113" s="1">
        <f>15027+498</f>
        <v>15525</v>
      </c>
      <c r="H113" s="3">
        <f>17521+602</f>
        <v>18123</v>
      </c>
      <c r="I113" s="2">
        <f>SUM(H113)/F113</f>
        <v>194.87096774193549</v>
      </c>
      <c r="J113" s="1">
        <v>498</v>
      </c>
      <c r="K113" s="1">
        <v>602</v>
      </c>
      <c r="L113" s="1">
        <v>205</v>
      </c>
      <c r="M113" s="1">
        <v>231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 t="shared" si="11"/>
        <v>164.27586206896552</v>
      </c>
      <c r="E114" s="3">
        <f>SUM(200-D114)*0.8</f>
        <v>28.579310344827583</v>
      </c>
      <c r="F114" s="1">
        <f>84+3</f>
        <v>87</v>
      </c>
      <c r="G114" s="1">
        <f>13807+485</f>
        <v>14292</v>
      </c>
      <c r="H114" s="3">
        <f>16372+572</f>
        <v>16944</v>
      </c>
      <c r="I114" s="2">
        <f>SUM(H114)/F114</f>
        <v>194.75862068965517</v>
      </c>
      <c r="J114" s="1">
        <v>485</v>
      </c>
      <c r="K114" s="1">
        <v>572</v>
      </c>
      <c r="L114" s="1">
        <v>180</v>
      </c>
      <c r="M114" s="1">
        <v>209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 t="shared" si="11"/>
        <v>188.89743589743588</v>
      </c>
      <c r="E115" s="3">
        <f>SUM(200-D115)*0.8</f>
        <v>8.8820512820512931</v>
      </c>
      <c r="F115" s="1">
        <f>75+3</f>
        <v>78</v>
      </c>
      <c r="G115" s="1">
        <f>14235+499</f>
        <v>14734</v>
      </c>
      <c r="H115" s="3">
        <f>14925+523</f>
        <v>15448</v>
      </c>
      <c r="I115" s="2">
        <f>SUM(H115)/F115</f>
        <v>198.05128205128204</v>
      </c>
      <c r="J115" s="1">
        <v>499</v>
      </c>
      <c r="K115" s="1">
        <v>523</v>
      </c>
      <c r="L115" s="1">
        <v>181</v>
      </c>
      <c r="M115" s="1">
        <v>189</v>
      </c>
    </row>
    <row r="116" spans="1:17" x14ac:dyDescent="0.35">
      <c r="A116" s="4"/>
      <c r="B116" s="4"/>
      <c r="C116" s="1" t="s">
        <v>57</v>
      </c>
      <c r="D116" s="2">
        <f t="shared" si="11"/>
        <v>159</v>
      </c>
      <c r="F116" s="1">
        <f>6</f>
        <v>6</v>
      </c>
      <c r="G116" s="1">
        <f>954</f>
        <v>954</v>
      </c>
      <c r="H116" s="3">
        <f>1104</f>
        <v>1104</v>
      </c>
      <c r="I116" s="2">
        <f>SUM(H116)/F116</f>
        <v>184</v>
      </c>
    </row>
    <row r="117" spans="1:17" x14ac:dyDescent="0.35">
      <c r="C117" s="130" t="s">
        <v>71</v>
      </c>
      <c r="D117" s="131">
        <f t="shared" ca="1" si="11"/>
        <v>0.86714658320292126</v>
      </c>
      <c r="E117" s="132"/>
      <c r="F117" s="130">
        <f>SUM(F112:F116)</f>
        <v>348</v>
      </c>
      <c r="G117" s="130">
        <f ca="1">SUM(G112:G133)</f>
        <v>83116</v>
      </c>
      <c r="H117" s="132">
        <f ca="1">SUM(H112:H133)</f>
        <v>94404</v>
      </c>
    </row>
    <row r="119" spans="1:17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3" x14ac:dyDescent="0.35">
      <c r="A129" s="1" t="s">
        <v>15</v>
      </c>
      <c r="B129" s="1">
        <v>3</v>
      </c>
      <c r="C129" s="11" t="s">
        <v>17</v>
      </c>
      <c r="D129" s="2">
        <f t="shared" ref="D129:D134" si="12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3" x14ac:dyDescent="0.35">
      <c r="A130" s="1" t="s">
        <v>15</v>
      </c>
      <c r="B130" s="1">
        <v>7</v>
      </c>
      <c r="C130" s="11" t="s">
        <v>137</v>
      </c>
      <c r="D130" s="2">
        <f t="shared" si="12"/>
        <v>166</v>
      </c>
      <c r="E130" s="3">
        <f t="shared" ref="E130:E141" si="13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4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3" x14ac:dyDescent="0.35">
      <c r="A131" s="1" t="s">
        <v>15</v>
      </c>
      <c r="B131" s="1">
        <v>8</v>
      </c>
      <c r="C131" s="11" t="s">
        <v>138</v>
      </c>
      <c r="D131" s="2">
        <f t="shared" si="12"/>
        <v>161.66666666666666</v>
      </c>
      <c r="E131" s="3">
        <f t="shared" si="13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4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3" x14ac:dyDescent="0.35">
      <c r="A132" s="1" t="s">
        <v>15</v>
      </c>
      <c r="B132" s="1">
        <v>4</v>
      </c>
      <c r="C132" s="1" t="s">
        <v>75</v>
      </c>
      <c r="D132" s="2">
        <f t="shared" si="12"/>
        <v>171.85333333333332</v>
      </c>
      <c r="E132" s="3">
        <f t="shared" si="13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4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3" x14ac:dyDescent="0.35">
      <c r="A133" s="1" t="s">
        <v>15</v>
      </c>
      <c r="B133" s="1">
        <v>5</v>
      </c>
      <c r="C133" s="1" t="s">
        <v>133</v>
      </c>
      <c r="D133" s="2">
        <f t="shared" si="12"/>
        <v>172.43333333333334</v>
      </c>
      <c r="E133" s="3">
        <f t="shared" si="13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4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4" spans="1:13" x14ac:dyDescent="0.35">
      <c r="A134" s="1" t="s">
        <v>13</v>
      </c>
      <c r="B134" s="1">
        <v>6</v>
      </c>
      <c r="C134" s="1" t="s">
        <v>140</v>
      </c>
      <c r="D134" s="2">
        <f t="shared" si="12"/>
        <v>163.36666666666667</v>
      </c>
      <c r="E134" s="3">
        <f t="shared" si="13"/>
        <v>29.306666666666661</v>
      </c>
      <c r="F134" s="1">
        <f>3+3+3+3+3+3+3+3+3+3</f>
        <v>30</v>
      </c>
      <c r="G134" s="1">
        <f>479+552+453+456+467+468+497+486+470+573</f>
        <v>4901</v>
      </c>
      <c r="H134" s="3">
        <f>575+648+519+540+557+564+593+579+563+669</f>
        <v>5807</v>
      </c>
      <c r="I134" s="2">
        <f t="shared" si="14"/>
        <v>193.56666666666666</v>
      </c>
      <c r="J134" s="1">
        <v>573</v>
      </c>
      <c r="K134" s="1">
        <v>669</v>
      </c>
      <c r="L134" s="1">
        <v>212</v>
      </c>
      <c r="M134" s="1">
        <v>244</v>
      </c>
    </row>
    <row r="135" spans="1:13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3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4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3" x14ac:dyDescent="0.35">
      <c r="A136" s="1" t="s">
        <v>15</v>
      </c>
      <c r="B136" s="1">
        <v>8</v>
      </c>
      <c r="C136" s="1" t="s">
        <v>142</v>
      </c>
      <c r="D136" s="2">
        <f t="shared" ref="D136:D141" si="15">SUM(G136)/F136</f>
        <v>163.41666666666666</v>
      </c>
      <c r="E136" s="3">
        <f t="shared" si="13"/>
        <v>29.266666666666676</v>
      </c>
      <c r="F136" s="1">
        <f>3+3+3+3+3+3+3+3</f>
        <v>24</v>
      </c>
      <c r="G136" s="1">
        <f>528+537+511+465+464+479+451+487</f>
        <v>3922</v>
      </c>
      <c r="H136" s="3">
        <f>585+594+565+525+536+557+532+585</f>
        <v>4479</v>
      </c>
      <c r="I136" s="2">
        <f t="shared" si="14"/>
        <v>186.625</v>
      </c>
      <c r="J136" s="1">
        <v>537</v>
      </c>
      <c r="K136" s="1">
        <v>594</v>
      </c>
      <c r="L136" s="1">
        <v>221</v>
      </c>
      <c r="M136" s="1">
        <v>250</v>
      </c>
    </row>
    <row r="137" spans="1:13" x14ac:dyDescent="0.35">
      <c r="A137" s="1" t="s">
        <v>15</v>
      </c>
      <c r="B137" s="1">
        <v>5</v>
      </c>
      <c r="C137" s="4" t="s">
        <v>34</v>
      </c>
      <c r="D137" s="2">
        <f t="shared" si="15"/>
        <v>137</v>
      </c>
      <c r="E137" s="3">
        <f t="shared" si="13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4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3" x14ac:dyDescent="0.35">
      <c r="A138" s="1" t="s">
        <v>13</v>
      </c>
      <c r="B138" s="1">
        <v>6</v>
      </c>
      <c r="C138" s="4" t="s">
        <v>49</v>
      </c>
      <c r="D138" s="2">
        <f t="shared" si="15"/>
        <v>147.4</v>
      </c>
      <c r="E138" s="3">
        <f t="shared" si="13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4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3" x14ac:dyDescent="0.35">
      <c r="A139" s="1" t="s">
        <v>13</v>
      </c>
      <c r="B139" s="1">
        <v>3</v>
      </c>
      <c r="C139" s="4" t="s">
        <v>37</v>
      </c>
      <c r="D139" s="2">
        <f t="shared" si="15"/>
        <v>167.64285714285714</v>
      </c>
      <c r="E139" s="3">
        <f t="shared" si="13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4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3" x14ac:dyDescent="0.35">
      <c r="A140" s="1" t="s">
        <v>15</v>
      </c>
      <c r="B140" s="1">
        <v>5</v>
      </c>
      <c r="C140" s="4" t="s">
        <v>39</v>
      </c>
      <c r="D140" s="2">
        <f t="shared" si="15"/>
        <v>163.4</v>
      </c>
      <c r="E140" s="3">
        <f t="shared" si="13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4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3" x14ac:dyDescent="0.35">
      <c r="A141" s="1" t="s">
        <v>15</v>
      </c>
      <c r="B141" s="1">
        <v>6</v>
      </c>
      <c r="C141" s="1" t="s">
        <v>139</v>
      </c>
      <c r="D141" s="2">
        <f t="shared" si="15"/>
        <v>166.54166666666666</v>
      </c>
      <c r="E141" s="3">
        <f t="shared" si="13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4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3" x14ac:dyDescent="0.35">
      <c r="A142" s="1" t="s">
        <v>15</v>
      </c>
      <c r="B142" s="1">
        <v>4</v>
      </c>
      <c r="C142" s="4" t="s">
        <v>38</v>
      </c>
      <c r="D142" s="2">
        <f>SUM(G142)/F142</f>
        <v>166.38235294117646</v>
      </c>
      <c r="E142" s="3">
        <f>SUM(200-D142)*0.8</f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76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1</v>
      </c>
      <c r="F3" s="20" t="s">
        <v>78</v>
      </c>
      <c r="G3" s="21" t="s">
        <v>79</v>
      </c>
      <c r="H3" s="22">
        <v>46267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30</v>
      </c>
      <c r="D5" s="29">
        <f>9</f>
        <v>9</v>
      </c>
      <c r="E5" s="29">
        <f>1957</f>
        <v>1957</v>
      </c>
      <c r="F5" s="29">
        <f>2230</f>
        <v>2230</v>
      </c>
      <c r="G5" s="30">
        <f t="shared" ref="G5:G14" si="0">F5/I5</f>
        <v>185.83333333333334</v>
      </c>
      <c r="H5" s="30">
        <f t="shared" ref="H5:H14" si="1">E5/I5</f>
        <v>163.08333333333334</v>
      </c>
      <c r="I5" s="27">
        <f>SUM(E3)*12</f>
        <v>12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144</v>
      </c>
      <c r="D6" s="29">
        <f>8</f>
        <v>8</v>
      </c>
      <c r="E6" s="29">
        <f>1765</f>
        <v>1765</v>
      </c>
      <c r="F6" s="29">
        <f>2200</f>
        <v>2200</v>
      </c>
      <c r="G6" s="30">
        <f t="shared" si="0"/>
        <v>183.33333333333334</v>
      </c>
      <c r="H6" s="30">
        <f t="shared" si="1"/>
        <v>147.08333333333334</v>
      </c>
      <c r="I6" s="27">
        <f t="shared" ref="I6:I14" si="2">SUM(I5)</f>
        <v>12</v>
      </c>
    </row>
    <row r="7" spans="2:16" ht="21.75" thickBot="1" x14ac:dyDescent="0.3">
      <c r="B7" s="28">
        <v>3</v>
      </c>
      <c r="C7" s="29" t="s">
        <v>88</v>
      </c>
      <c r="D7" s="29">
        <f>7</f>
        <v>7</v>
      </c>
      <c r="E7" s="29">
        <f>2101</f>
        <v>2101</v>
      </c>
      <c r="F7" s="29">
        <f>2404</f>
        <v>2404</v>
      </c>
      <c r="G7" s="30">
        <f t="shared" si="0"/>
        <v>200.33333333333334</v>
      </c>
      <c r="H7" s="30">
        <f t="shared" si="1"/>
        <v>175.08333333333334</v>
      </c>
      <c r="I7" s="27">
        <f t="shared" si="2"/>
        <v>12</v>
      </c>
    </row>
    <row r="8" spans="2:16" ht="21.75" thickBot="1" x14ac:dyDescent="0.3">
      <c r="B8" s="28">
        <v>4</v>
      </c>
      <c r="C8" s="29" t="s">
        <v>51</v>
      </c>
      <c r="D8" s="29">
        <f>7</f>
        <v>7</v>
      </c>
      <c r="E8" s="29">
        <f>1979</f>
        <v>1979</v>
      </c>
      <c r="F8" s="29">
        <f>2300</f>
        <v>2300</v>
      </c>
      <c r="G8" s="30">
        <f t="shared" si="0"/>
        <v>191.66666666666666</v>
      </c>
      <c r="H8" s="30">
        <f t="shared" si="1"/>
        <v>164.91666666666666</v>
      </c>
      <c r="I8" s="27">
        <f t="shared" si="2"/>
        <v>12</v>
      </c>
    </row>
    <row r="9" spans="2:16" ht="21.75" thickBot="1" x14ac:dyDescent="0.3">
      <c r="B9" s="34">
        <v>5</v>
      </c>
      <c r="C9" s="29" t="s">
        <v>207</v>
      </c>
      <c r="D9" s="29">
        <v>7</v>
      </c>
      <c r="E9" s="29">
        <v>2280</v>
      </c>
      <c r="F9" s="29">
        <v>2280</v>
      </c>
      <c r="G9" s="30">
        <f t="shared" si="0"/>
        <v>190</v>
      </c>
      <c r="H9" s="30">
        <f t="shared" si="1"/>
        <v>190</v>
      </c>
      <c r="I9" s="27">
        <f t="shared" si="2"/>
        <v>12</v>
      </c>
    </row>
    <row r="10" spans="2:16" ht="21.75" thickBot="1" x14ac:dyDescent="0.3">
      <c r="B10" s="28">
        <v>6</v>
      </c>
      <c r="C10" s="29" t="s">
        <v>204</v>
      </c>
      <c r="D10" s="29">
        <f>7</f>
        <v>7</v>
      </c>
      <c r="E10" s="29">
        <f>2007</f>
        <v>2007</v>
      </c>
      <c r="F10" s="29">
        <f>2241</f>
        <v>2241</v>
      </c>
      <c r="G10" s="30">
        <f t="shared" si="0"/>
        <v>186.75</v>
      </c>
      <c r="H10" s="30">
        <f t="shared" si="1"/>
        <v>167.25</v>
      </c>
      <c r="I10" s="27">
        <f t="shared" si="2"/>
        <v>12</v>
      </c>
    </row>
    <row r="11" spans="2:16" ht="21.75" thickBot="1" x14ac:dyDescent="0.3">
      <c r="B11" s="28">
        <v>7</v>
      </c>
      <c r="C11" s="29" t="s">
        <v>58</v>
      </c>
      <c r="D11" s="29">
        <v>5</v>
      </c>
      <c r="E11" s="29">
        <f>1939</f>
        <v>1939</v>
      </c>
      <c r="F11" s="29">
        <f>2263</f>
        <v>2263</v>
      </c>
      <c r="G11" s="30">
        <f t="shared" si="0"/>
        <v>188.58333333333334</v>
      </c>
      <c r="H11" s="30">
        <f t="shared" si="1"/>
        <v>161.58333333333334</v>
      </c>
      <c r="I11" s="27">
        <f t="shared" si="2"/>
        <v>12</v>
      </c>
    </row>
    <row r="12" spans="2:16" ht="21.75" thickBot="1" x14ac:dyDescent="0.3">
      <c r="B12" s="28">
        <v>8</v>
      </c>
      <c r="C12" s="29" t="s">
        <v>206</v>
      </c>
      <c r="D12" s="29">
        <f>4</f>
        <v>4</v>
      </c>
      <c r="E12" s="29">
        <f>1522</f>
        <v>1522</v>
      </c>
      <c r="F12" s="29">
        <f>2162</f>
        <v>2162</v>
      </c>
      <c r="G12" s="30">
        <f t="shared" si="0"/>
        <v>180.16666666666666</v>
      </c>
      <c r="H12" s="30">
        <f t="shared" si="1"/>
        <v>126.83333333333333</v>
      </c>
      <c r="I12" s="27">
        <f t="shared" si="2"/>
        <v>12</v>
      </c>
    </row>
    <row r="13" spans="2:16" ht="21.75" thickBot="1" x14ac:dyDescent="0.3">
      <c r="B13" s="28">
        <v>9</v>
      </c>
      <c r="C13" s="29" t="s">
        <v>87</v>
      </c>
      <c r="D13" s="29">
        <f>1</f>
        <v>1</v>
      </c>
      <c r="E13" s="29">
        <f>1639</f>
        <v>1639</v>
      </c>
      <c r="F13" s="29">
        <f>2035</f>
        <v>2035</v>
      </c>
      <c r="G13" s="30">
        <f t="shared" si="0"/>
        <v>169.58333333333334</v>
      </c>
      <c r="H13" s="30">
        <f t="shared" si="1"/>
        <v>136.58333333333334</v>
      </c>
      <c r="I13" s="27">
        <f t="shared" si="2"/>
        <v>12</v>
      </c>
    </row>
    <row r="14" spans="2:16" ht="21.75" thickBot="1" x14ac:dyDescent="0.3">
      <c r="B14" s="28">
        <v>10</v>
      </c>
      <c r="C14" s="29" t="s">
        <v>23</v>
      </c>
      <c r="D14" s="29">
        <f>1</f>
        <v>1</v>
      </c>
      <c r="E14" s="29">
        <f>1582</f>
        <v>1582</v>
      </c>
      <c r="F14" s="29">
        <f>1987</f>
        <v>1987</v>
      </c>
      <c r="G14" s="30">
        <f t="shared" si="0"/>
        <v>165.58333333333334</v>
      </c>
      <c r="H14" s="30">
        <f t="shared" si="1"/>
        <v>131.83333333333334</v>
      </c>
      <c r="I14" s="27">
        <f t="shared" si="2"/>
        <v>12</v>
      </c>
    </row>
    <row r="15" spans="2:16" ht="21.75" thickBot="1" x14ac:dyDescent="0.3">
      <c r="B15" s="28"/>
      <c r="C15" s="25" t="s">
        <v>89</v>
      </c>
      <c r="D15" s="29"/>
      <c r="E15" s="26">
        <f>SUM(E3:E14)</f>
        <v>18772</v>
      </c>
      <c r="F15" s="26">
        <f>SUM(F3:F14)</f>
        <v>22102</v>
      </c>
      <c r="G15" s="30" t="e">
        <f>F16/I16</f>
        <v>#DIV/0!</v>
      </c>
      <c r="H15" s="30" t="e">
        <f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120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1</v>
      </c>
      <c r="F19" s="20" t="s">
        <v>78</v>
      </c>
      <c r="G19" s="21" t="s">
        <v>79</v>
      </c>
      <c r="H19" s="22">
        <f>SUM(H3)</f>
        <v>46267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30</v>
      </c>
      <c r="D21" s="29">
        <v>9</v>
      </c>
      <c r="E21" s="29">
        <v>1957</v>
      </c>
      <c r="F21" s="29">
        <v>2230</v>
      </c>
      <c r="G21" s="30">
        <f t="shared" ref="G21:G30" si="3">F21/I21</f>
        <v>185.83333333333334</v>
      </c>
      <c r="H21" s="30">
        <f t="shared" ref="H21:H30" si="4">E21/I21</f>
        <v>163.08333333333334</v>
      </c>
      <c r="I21" s="27">
        <v>12</v>
      </c>
    </row>
    <row r="22" spans="2:17" ht="21.75" thickBot="1" x14ac:dyDescent="0.3">
      <c r="B22" s="28">
        <v>2</v>
      </c>
      <c r="C22" s="29" t="s">
        <v>144</v>
      </c>
      <c r="D22" s="29">
        <v>8</v>
      </c>
      <c r="E22" s="29">
        <v>1765</v>
      </c>
      <c r="F22" s="29">
        <v>2200</v>
      </c>
      <c r="G22" s="30">
        <f t="shared" si="3"/>
        <v>183.33333333333334</v>
      </c>
      <c r="H22" s="30">
        <f t="shared" si="4"/>
        <v>147.08333333333334</v>
      </c>
      <c r="I22" s="27">
        <v>12</v>
      </c>
    </row>
    <row r="23" spans="2:17" ht="21.75" thickBot="1" x14ac:dyDescent="0.3">
      <c r="B23" s="28">
        <v>3</v>
      </c>
      <c r="C23" s="29" t="s">
        <v>88</v>
      </c>
      <c r="D23" s="29">
        <v>7</v>
      </c>
      <c r="E23" s="29">
        <v>2101</v>
      </c>
      <c r="F23" s="29">
        <v>2404</v>
      </c>
      <c r="G23" s="30">
        <f t="shared" si="3"/>
        <v>200.33333333333334</v>
      </c>
      <c r="H23" s="30">
        <f t="shared" si="4"/>
        <v>175.08333333333334</v>
      </c>
      <c r="I23" s="27">
        <v>12</v>
      </c>
    </row>
    <row r="24" spans="2:17" ht="21.75" thickBot="1" x14ac:dyDescent="0.3">
      <c r="B24" s="28">
        <v>4</v>
      </c>
      <c r="C24" s="29" t="s">
        <v>51</v>
      </c>
      <c r="D24" s="29">
        <v>7</v>
      </c>
      <c r="E24" s="29">
        <v>1979</v>
      </c>
      <c r="F24" s="29">
        <v>2300</v>
      </c>
      <c r="G24" s="30">
        <f t="shared" si="3"/>
        <v>191.66666666666666</v>
      </c>
      <c r="H24" s="30">
        <f t="shared" si="4"/>
        <v>164.91666666666666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207</v>
      </c>
      <c r="D25" s="29">
        <v>7</v>
      </c>
      <c r="E25" s="29">
        <v>2280</v>
      </c>
      <c r="F25" s="29">
        <v>2280</v>
      </c>
      <c r="G25" s="30">
        <f t="shared" si="3"/>
        <v>190</v>
      </c>
      <c r="H25" s="30">
        <f t="shared" si="4"/>
        <v>190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204</v>
      </c>
      <c r="D26" s="29">
        <v>7</v>
      </c>
      <c r="E26" s="29">
        <v>2007</v>
      </c>
      <c r="F26" s="29">
        <v>2241</v>
      </c>
      <c r="G26" s="30">
        <f t="shared" si="3"/>
        <v>186.75</v>
      </c>
      <c r="H26" s="30">
        <f t="shared" si="4"/>
        <v>167.25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58</v>
      </c>
      <c r="D27" s="29">
        <v>5</v>
      </c>
      <c r="E27" s="29">
        <v>1939</v>
      </c>
      <c r="F27" s="29">
        <v>2263</v>
      </c>
      <c r="G27" s="30">
        <f t="shared" si="3"/>
        <v>188.58333333333334</v>
      </c>
      <c r="H27" s="30">
        <f t="shared" si="4"/>
        <v>161.58333333333334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206</v>
      </c>
      <c r="D28" s="29">
        <v>4</v>
      </c>
      <c r="E28" s="29">
        <v>1522</v>
      </c>
      <c r="F28" s="29">
        <v>2162</v>
      </c>
      <c r="G28" s="30">
        <f t="shared" si="3"/>
        <v>180.16666666666666</v>
      </c>
      <c r="H28" s="30">
        <f t="shared" si="4"/>
        <v>126.83333333333333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91</v>
      </c>
      <c r="D29" s="29">
        <v>1</v>
      </c>
      <c r="E29" s="29">
        <v>1639</v>
      </c>
      <c r="F29" s="29">
        <v>2035</v>
      </c>
      <c r="G29" s="30">
        <f t="shared" si="3"/>
        <v>169.58333333333334</v>
      </c>
      <c r="H29" s="30">
        <f t="shared" si="4"/>
        <v>136.58333333333334</v>
      </c>
      <c r="I29" s="27">
        <v>12</v>
      </c>
    </row>
    <row r="30" spans="2:17" ht="21.75" thickBot="1" x14ac:dyDescent="0.3">
      <c r="B30" s="34">
        <v>10</v>
      </c>
      <c r="C30" s="29" t="s">
        <v>23</v>
      </c>
      <c r="D30" s="29">
        <v>1</v>
      </c>
      <c r="E30" s="29">
        <v>1582</v>
      </c>
      <c r="F30" s="29">
        <v>1987</v>
      </c>
      <c r="G30" s="30">
        <f t="shared" si="3"/>
        <v>165.58333333333334</v>
      </c>
      <c r="H30" s="30">
        <f t="shared" si="4"/>
        <v>131.83333333333334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18771</v>
      </c>
      <c r="F33" s="38">
        <f>SUM(F21:F32)</f>
        <v>22102</v>
      </c>
      <c r="G33" s="30">
        <f>F33/I33</f>
        <v>184.18333333333334</v>
      </c>
      <c r="H33" s="30">
        <f>E33/I33</f>
        <v>156.42500000000001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2"/>
  <sheetViews>
    <sheetView workbookViewId="0">
      <selection sqref="A1:XFD1048576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2</v>
      </c>
      <c r="F2" s="5" t="s">
        <v>1</v>
      </c>
      <c r="G2" s="7">
        <v>46274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165</v>
      </c>
      <c r="E5" s="3">
        <f t="shared" ref="E5:E10" si="0">SUM(200-D5)*0.8</f>
        <v>28</v>
      </c>
      <c r="F5" s="1">
        <f>81+3+3</f>
        <v>87</v>
      </c>
      <c r="G5" s="1">
        <f>13406+488+461</f>
        <v>14355</v>
      </c>
      <c r="H5" s="3">
        <f>16014+584+557</f>
        <v>17155</v>
      </c>
      <c r="I5" s="2">
        <f>SUM(H5)/F5</f>
        <v>197.18390804597701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178.42708333333334</v>
      </c>
      <c r="E6" s="3">
        <f t="shared" si="0"/>
        <v>17.258333333333326</v>
      </c>
      <c r="F6" s="1">
        <f>93+3</f>
        <v>96</v>
      </c>
      <c r="G6" s="1">
        <f>16611+518</f>
        <v>17129</v>
      </c>
      <c r="H6" s="3">
        <f>18506+569</f>
        <v>19075</v>
      </c>
      <c r="I6" s="2">
        <f>SUM(H6)/F6</f>
        <v>198.69791666666666</v>
      </c>
      <c r="J6" s="1">
        <v>518</v>
      </c>
      <c r="K6" s="1">
        <v>569</v>
      </c>
      <c r="L6" s="1">
        <v>217</v>
      </c>
      <c r="M6" s="1">
        <v>234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153.13846153846154</v>
      </c>
      <c r="E8" s="3">
        <f t="shared" si="0"/>
        <v>37.489230769230765</v>
      </c>
      <c r="F8" s="1">
        <f>59+3+3</f>
        <v>65</v>
      </c>
      <c r="G8" s="1">
        <f>9150+403+401</f>
        <v>9954</v>
      </c>
      <c r="H8" s="3">
        <f>11231+511+512</f>
        <v>12254</v>
      </c>
      <c r="I8" s="2">
        <f>SUM(H8)/F8</f>
        <v>188.52307692307693</v>
      </c>
      <c r="J8" s="1">
        <v>403</v>
      </c>
      <c r="K8" s="1">
        <v>512</v>
      </c>
      <c r="L8" s="1">
        <v>149</v>
      </c>
      <c r="M8" s="1">
        <v>186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188.7962962962963</v>
      </c>
      <c r="E9" s="3">
        <f t="shared" si="0"/>
        <v>8.9629629629629566</v>
      </c>
      <c r="F9" s="1">
        <f>102+3+3</f>
        <v>108</v>
      </c>
      <c r="G9" s="1">
        <f>19257+568+565</f>
        <v>20390</v>
      </c>
      <c r="H9" s="3">
        <f>20034+595+592</f>
        <v>21221</v>
      </c>
      <c r="I9" s="2">
        <f>SUM(H9)/F9</f>
        <v>196.49074074074073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171.83333333333334</v>
      </c>
      <c r="E10" s="3">
        <f t="shared" si="0"/>
        <v>22.533333333333328</v>
      </c>
      <c r="F10" s="1">
        <f>75+3</f>
        <v>78</v>
      </c>
      <c r="G10" s="1">
        <f>12761+642</f>
        <v>13403</v>
      </c>
      <c r="H10" s="3">
        <f>15264+714</f>
        <v>15978</v>
      </c>
      <c r="I10" s="2">
        <f>SUM(H10)/F10</f>
        <v>204.84615384615384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>
        <f>SUM(G11)/F11</f>
        <v>162.39285714285714</v>
      </c>
      <c r="F11" s="1">
        <f>28</f>
        <v>28</v>
      </c>
      <c r="G11" s="1">
        <f>4547</f>
        <v>4547</v>
      </c>
      <c r="H11" s="3">
        <f>5163</f>
        <v>5163</v>
      </c>
      <c r="I11" s="2">
        <f>SUM(H11)/F11</f>
        <v>184.39285714285714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172.67965367965368</v>
      </c>
      <c r="E13" s="10"/>
      <c r="F13" s="5">
        <f>SUM(F5:F12)</f>
        <v>462</v>
      </c>
      <c r="G13" s="15">
        <f>SUM(G5:G12)</f>
        <v>79778</v>
      </c>
      <c r="H13" s="10">
        <f>SUM(H5:H12)</f>
        <v>90846</v>
      </c>
      <c r="I13" s="8">
        <f>SUM(H13)/F13</f>
        <v>196.63636363636363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3" si="1">SUM(G17)/F17</f>
        <v>184.20202020202021</v>
      </c>
      <c r="E17" s="3">
        <f t="shared" ref="E17:E22" si="2">SUM(200-D17)*0.8</f>
        <v>12.638383838383835</v>
      </c>
      <c r="F17" s="1">
        <f>93+3+3</f>
        <v>99</v>
      </c>
      <c r="G17" s="1">
        <f>17166+524+546</f>
        <v>18236</v>
      </c>
      <c r="H17" s="3">
        <f>18348+560+585</f>
        <v>19493</v>
      </c>
      <c r="I17" s="2">
        <v>192.66</v>
      </c>
      <c r="J17" s="1">
        <v>546</v>
      </c>
      <c r="K17" s="1">
        <v>585</v>
      </c>
      <c r="L17" s="1">
        <v>199</v>
      </c>
      <c r="M17" s="1">
        <v>212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149.19999999999999</v>
      </c>
      <c r="E18" s="3">
        <f t="shared" si="2"/>
        <v>40.640000000000015</v>
      </c>
      <c r="F18" s="1">
        <f>57+3</f>
        <v>60</v>
      </c>
      <c r="G18" s="1">
        <f>8611+341</f>
        <v>8952</v>
      </c>
      <c r="H18" s="3">
        <f>10789+458</f>
        <v>11247</v>
      </c>
      <c r="I18" s="2">
        <v>192.9111111111111</v>
      </c>
      <c r="J18" s="1">
        <v>341</v>
      </c>
      <c r="K18" s="1">
        <v>458</v>
      </c>
      <c r="L18" s="1">
        <v>122</v>
      </c>
      <c r="M18" s="1">
        <v>161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169.875</v>
      </c>
      <c r="E19" s="3">
        <f t="shared" si="2"/>
        <v>24.1</v>
      </c>
      <c r="F19" s="1">
        <f>21+3</f>
        <v>24</v>
      </c>
      <c r="G19" s="1">
        <f>3539+538</f>
        <v>4077</v>
      </c>
      <c r="H19" s="3">
        <f>4052+613</f>
        <v>4665</v>
      </c>
      <c r="I19" s="2">
        <f>SUM(H19)/F19</f>
        <v>194.375</v>
      </c>
      <c r="J19" s="1">
        <v>538</v>
      </c>
      <c r="K19" s="1">
        <v>613</v>
      </c>
      <c r="L19" s="1">
        <v>184</v>
      </c>
      <c r="M19" s="1">
        <v>209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143.40952380952382</v>
      </c>
      <c r="E20" s="3">
        <f t="shared" si="2"/>
        <v>45.272380952380949</v>
      </c>
      <c r="F20" s="1">
        <f>99+3+3</f>
        <v>105</v>
      </c>
      <c r="G20" s="1">
        <f>14326+304+428</f>
        <v>15058</v>
      </c>
      <c r="H20" s="3">
        <f>18808+436+566</f>
        <v>19810</v>
      </c>
      <c r="I20" s="2">
        <f>SUM(H20)/F20</f>
        <v>188.66666666666666</v>
      </c>
      <c r="J20" s="1">
        <v>428</v>
      </c>
      <c r="K20" s="1">
        <v>566</v>
      </c>
      <c r="L20" s="1">
        <v>153</v>
      </c>
      <c r="M20" s="1">
        <v>199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149.34444444444443</v>
      </c>
      <c r="E21" s="3">
        <f t="shared" si="2"/>
        <v>40.524444444444455</v>
      </c>
      <c r="F21" s="1">
        <f>87+3</f>
        <v>90</v>
      </c>
      <c r="G21" s="1">
        <f>13028+413</f>
        <v>13441</v>
      </c>
      <c r="H21" s="3">
        <f>16637+533</f>
        <v>17170</v>
      </c>
      <c r="I21" s="2">
        <f>SUM(H21)/F21</f>
        <v>190.77777777777777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178.06451612903226</v>
      </c>
      <c r="E22" s="3">
        <f t="shared" si="2"/>
        <v>17.548387096774196</v>
      </c>
      <c r="F22" s="1">
        <f>90+3</f>
        <v>93</v>
      </c>
      <c r="G22" s="1">
        <f>16066+494</f>
        <v>16560</v>
      </c>
      <c r="H22" s="3">
        <f>17575+545</f>
        <v>18120</v>
      </c>
      <c r="I22" s="2">
        <f>SUM(H22)/F22</f>
        <v>194.83870967741936</v>
      </c>
      <c r="J22" s="1">
        <v>494</v>
      </c>
      <c r="K22" s="1">
        <v>545</v>
      </c>
      <c r="L22" s="1">
        <v>177</v>
      </c>
      <c r="M22" s="1">
        <v>194</v>
      </c>
    </row>
    <row r="23" spans="1:17" x14ac:dyDescent="0.35">
      <c r="C23" s="4" t="s">
        <v>21</v>
      </c>
      <c r="D23" s="2">
        <f t="shared" si="1"/>
        <v>404.5</v>
      </c>
      <c r="F23" s="1">
        <f>18</f>
        <v>18</v>
      </c>
      <c r="G23" s="1">
        <f>7281</f>
        <v>7281</v>
      </c>
      <c r="H23" s="3">
        <f>3294</f>
        <v>3294</v>
      </c>
      <c r="I23" s="2">
        <f>SUM(H23)/F23</f>
        <v>183</v>
      </c>
    </row>
    <row r="24" spans="1:17" x14ac:dyDescent="0.35">
      <c r="C24" s="4"/>
      <c r="F24" s="12"/>
      <c r="G24" s="12"/>
      <c r="H24" s="13"/>
    </row>
    <row r="25" spans="1:17" x14ac:dyDescent="0.35">
      <c r="C25" s="14" t="s">
        <v>22</v>
      </c>
      <c r="D25" s="8">
        <f>SUM(G25)/F25</f>
        <v>170.97137014314927</v>
      </c>
      <c r="E25" s="10"/>
      <c r="F25" s="5">
        <f>SUM(F17:F23)</f>
        <v>489</v>
      </c>
      <c r="G25" s="15">
        <f>SUM(G17:G24)</f>
        <v>83605</v>
      </c>
      <c r="H25" s="10">
        <f>SUM(H17:H24)</f>
        <v>93799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3">SUM(G29)/F29</f>
        <v>178.03225806451613</v>
      </c>
      <c r="E29" s="3">
        <f>SUM(200-D29)*0.8</f>
        <v>17.574193548387097</v>
      </c>
      <c r="F29" s="1">
        <f>87+3+3</f>
        <v>93</v>
      </c>
      <c r="G29" s="1">
        <f>15512+553+492</f>
        <v>16557</v>
      </c>
      <c r="H29" s="3">
        <f>17093+604+546</f>
        <v>18243</v>
      </c>
      <c r="I29" s="2">
        <f t="shared" ref="I29:I34" si="4">SUM(H29)/F29</f>
        <v>196.16129032258064</v>
      </c>
      <c r="J29" s="1">
        <v>553</v>
      </c>
      <c r="K29" s="1">
        <v>604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3"/>
        <v>102.66666666666667</v>
      </c>
      <c r="E30" s="3">
        <v>64</v>
      </c>
      <c r="F30" s="1">
        <f>3</f>
        <v>3</v>
      </c>
      <c r="G30" s="1">
        <v>308</v>
      </c>
      <c r="H30" s="3">
        <v>500</v>
      </c>
      <c r="I30" s="2">
        <f t="shared" si="4"/>
        <v>166.66666666666666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3"/>
        <v>110.66666666666667</v>
      </c>
      <c r="E31" s="3">
        <v>64</v>
      </c>
      <c r="F31" s="1">
        <f>3</f>
        <v>3</v>
      </c>
      <c r="G31" s="1">
        <v>332</v>
      </c>
      <c r="H31" s="3">
        <v>524</v>
      </c>
      <c r="I31" s="2">
        <f t="shared" si="4"/>
        <v>174.66666666666666</v>
      </c>
      <c r="J31" s="1">
        <v>332</v>
      </c>
      <c r="K31" s="1">
        <v>524</v>
      </c>
      <c r="L31" s="1">
        <v>136</v>
      </c>
      <c r="M31" s="1">
        <v>200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3"/>
        <v>201.92</v>
      </c>
      <c r="E32" s="3">
        <f>SUM(200-D32)*0.8</f>
        <v>-1.53599999999999</v>
      </c>
      <c r="F32" s="1">
        <f>72+3</f>
        <v>75</v>
      </c>
      <c r="G32" s="1">
        <f>14572+572</f>
        <v>15144</v>
      </c>
      <c r="H32" s="3">
        <f>14596+572</f>
        <v>15168</v>
      </c>
      <c r="I32" s="2">
        <f t="shared" si="4"/>
        <v>202.24</v>
      </c>
      <c r="J32" s="1">
        <v>572</v>
      </c>
      <c r="K32" s="1">
        <v>572</v>
      </c>
      <c r="L32" s="1">
        <v>194</v>
      </c>
      <c r="M32" s="1">
        <v>194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3"/>
        <v>200.71929824561403</v>
      </c>
      <c r="E33" s="3">
        <f>SUM(200-D33)*0.8</f>
        <v>-0.57543859649122175</v>
      </c>
      <c r="F33" s="1">
        <f>54+3</f>
        <v>57</v>
      </c>
      <c r="G33" s="1">
        <f>10829+612</f>
        <v>11441</v>
      </c>
      <c r="H33" s="3">
        <f>10984+612</f>
        <v>11596</v>
      </c>
      <c r="I33" s="2">
        <f t="shared" si="4"/>
        <v>203.43859649122808</v>
      </c>
      <c r="J33" s="1">
        <v>612</v>
      </c>
      <c r="K33" s="1">
        <v>612</v>
      </c>
      <c r="L33" s="1">
        <v>232</v>
      </c>
      <c r="M33" s="1">
        <v>232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3"/>
        <v>203.0185185185185</v>
      </c>
      <c r="E34" s="3">
        <f>SUM(200-D34)*0.8</f>
        <v>-2.4148148148148039</v>
      </c>
      <c r="F34" s="1">
        <f>51+3</f>
        <v>54</v>
      </c>
      <c r="G34" s="1">
        <f>10391+572</f>
        <v>10963</v>
      </c>
      <c r="H34" s="3">
        <f>10445+572</f>
        <v>11017</v>
      </c>
      <c r="I34" s="2">
        <f t="shared" si="4"/>
        <v>204.0185185185185</v>
      </c>
      <c r="J34" s="1">
        <v>572</v>
      </c>
      <c r="K34" s="1">
        <v>572</v>
      </c>
      <c r="L34" s="1">
        <v>225</v>
      </c>
      <c r="M34" s="1">
        <v>225</v>
      </c>
    </row>
    <row r="35" spans="1:13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192.08680555555554</v>
      </c>
      <c r="E37" s="10"/>
      <c r="F37" s="5">
        <f>SUM(F29:F36)</f>
        <v>288</v>
      </c>
      <c r="G37" s="5">
        <f>SUM(G29:G36)</f>
        <v>55321</v>
      </c>
      <c r="H37" s="16">
        <f>SUM(H29:H36)</f>
        <v>57624</v>
      </c>
      <c r="I37" s="8">
        <f>SUM(H37)/F37</f>
        <v>200.08333333333334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 t="shared" ref="D42:D47" si="5">SUM(G42)/F42</f>
        <v>175.3153153153153</v>
      </c>
      <c r="E42" s="3">
        <f t="shared" ref="E42:E47" si="6">SUM(200-D42)*0.8</f>
        <v>19.747747747747759</v>
      </c>
      <c r="F42" s="1">
        <f>105+3+3</f>
        <v>111</v>
      </c>
      <c r="G42" s="1">
        <f>18432+546+482</f>
        <v>19460</v>
      </c>
      <c r="H42" s="3">
        <f>20790+606+539</f>
        <v>21935</v>
      </c>
      <c r="I42" s="2">
        <f>SUM(H42)/F42</f>
        <v>197.61261261261262</v>
      </c>
      <c r="J42" s="1">
        <v>546</v>
      </c>
      <c r="K42" s="1">
        <v>606</v>
      </c>
      <c r="L42" s="1">
        <v>178</v>
      </c>
      <c r="M42" s="1">
        <v>214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 t="shared" si="5"/>
        <v>165.26923076923077</v>
      </c>
      <c r="E43" s="3">
        <f t="shared" si="6"/>
        <v>27.784615384615382</v>
      </c>
      <c r="F43" s="1">
        <f>72+3+3</f>
        <v>78</v>
      </c>
      <c r="G43" s="1">
        <f>11948+475+468</f>
        <v>12891</v>
      </c>
      <c r="H43" s="3">
        <f>13949+556+549</f>
        <v>15054</v>
      </c>
      <c r="I43" s="2">
        <f>SUM(H43)/F43</f>
        <v>193</v>
      </c>
      <c r="J43" s="1">
        <v>475</v>
      </c>
      <c r="K43" s="1">
        <v>556</v>
      </c>
      <c r="L43" s="1">
        <v>197</v>
      </c>
      <c r="M43" s="1">
        <v>224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 t="shared" si="5"/>
        <v>168.73118279569891</v>
      </c>
      <c r="E44" s="3">
        <f t="shared" si="6"/>
        <v>25.015053763440871</v>
      </c>
      <c r="F44" s="1">
        <f>87+3+3</f>
        <v>93</v>
      </c>
      <c r="G44" s="1">
        <f>14675+484+533</f>
        <v>15692</v>
      </c>
      <c r="H44" s="3">
        <f>17348+559+611</f>
        <v>18518</v>
      </c>
      <c r="I44" s="2">
        <f>SUM(H44)/F44</f>
        <v>199.11827956989248</v>
      </c>
      <c r="J44" s="1">
        <v>533</v>
      </c>
      <c r="K44" s="1">
        <v>611</v>
      </c>
      <c r="L44" s="1">
        <v>202</v>
      </c>
      <c r="M44" s="1">
        <v>228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 t="shared" si="5"/>
        <v>175.67708333333334</v>
      </c>
      <c r="E45" s="3">
        <f>SUM(200-D45)*0.8</f>
        <v>19.458333333333329</v>
      </c>
      <c r="F45" s="1">
        <f>93+3</f>
        <v>96</v>
      </c>
      <c r="G45" s="1">
        <f>16413+452</f>
        <v>16865</v>
      </c>
      <c r="H45" s="3">
        <f>18081+509</f>
        <v>18590</v>
      </c>
      <c r="I45" s="2">
        <f>SUM(H45)/F45</f>
        <v>193.64583333333334</v>
      </c>
      <c r="J45" s="1">
        <v>452</v>
      </c>
      <c r="K45" s="1">
        <v>509</v>
      </c>
      <c r="L45" s="1">
        <v>155</v>
      </c>
      <c r="M45" s="1">
        <v>174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 t="shared" si="5"/>
        <v>150.84126984126985</v>
      </c>
      <c r="E46" s="3">
        <f t="shared" si="6"/>
        <v>39.326984126984122</v>
      </c>
      <c r="F46" s="1">
        <f>63</f>
        <v>63</v>
      </c>
      <c r="G46" s="1">
        <f>9503</f>
        <v>9503</v>
      </c>
      <c r="H46" s="1">
        <f>12113</f>
        <v>12113</v>
      </c>
      <c r="I46" s="2">
        <f t="shared" ref="I46:I51" si="7">SUM(H46)/F46</f>
        <v>192.26984126984127</v>
      </c>
      <c r="J46" s="1">
        <v>564</v>
      </c>
      <c r="K46" s="1">
        <v>690</v>
      </c>
      <c r="L46" s="1">
        <v>212</v>
      </c>
      <c r="M46" s="1">
        <v>254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5"/>
        <v>116</v>
      </c>
      <c r="E47" s="3">
        <f t="shared" si="6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>
        <f>SUM(G50)/F50</f>
        <v>147.6</v>
      </c>
      <c r="F50" s="1">
        <f>45</f>
        <v>45</v>
      </c>
      <c r="G50" s="1">
        <f>6642</f>
        <v>6642</v>
      </c>
      <c r="H50" s="3">
        <f>8161</f>
        <v>8161</v>
      </c>
      <c r="I50" s="2">
        <f t="shared" si="7"/>
        <v>181.35555555555555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166.4642126789366</v>
      </c>
      <c r="E51" s="10"/>
      <c r="F51" s="5">
        <f>SUM(F42:F50)</f>
        <v>489</v>
      </c>
      <c r="G51" s="5">
        <f>SUM(G41:G50)</f>
        <v>81401</v>
      </c>
      <c r="H51" s="16">
        <f>SUM(H41:H50)</f>
        <v>94911</v>
      </c>
      <c r="I51" s="8">
        <f t="shared" si="7"/>
        <v>194.09202453987731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155.88095238095238</v>
      </c>
      <c r="E59" s="3">
        <f>SUM(200-D59)*0.8</f>
        <v>35.295238095238098</v>
      </c>
      <c r="F59" s="1">
        <f>36+3+3</f>
        <v>42</v>
      </c>
      <c r="G59" s="1">
        <f>5633+441+473</f>
        <v>6547</v>
      </c>
      <c r="H59" s="3">
        <f>6904+546+578</f>
        <v>8028</v>
      </c>
      <c r="I59" s="2">
        <f>SUM(H59)/F59</f>
        <v>191.14285714285714</v>
      </c>
      <c r="J59" s="1">
        <v>473</v>
      </c>
      <c r="K59" s="1">
        <v>578</v>
      </c>
      <c r="L59" s="1">
        <v>172</v>
      </c>
      <c r="M59" s="1">
        <v>207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112</v>
      </c>
      <c r="E61" s="3">
        <v>64</v>
      </c>
      <c r="F61" s="1">
        <f>3+3</f>
        <v>6</v>
      </c>
      <c r="G61" s="1">
        <f>319+353</f>
        <v>672</v>
      </c>
      <c r="H61" s="3">
        <f>511+542</f>
        <v>1053</v>
      </c>
      <c r="I61" s="2">
        <f>SUM(H61)/F61</f>
        <v>175.5</v>
      </c>
      <c r="J61" s="1">
        <v>353</v>
      </c>
      <c r="K61" s="1">
        <v>542</v>
      </c>
      <c r="L61" s="1">
        <v>130</v>
      </c>
      <c r="M61" s="1">
        <v>194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119.66666666666667</v>
      </c>
      <c r="E62" s="3">
        <f>SUM(200-D62)*0.8</f>
        <v>64.266666666666666</v>
      </c>
      <c r="F62" s="1">
        <f>3+3</f>
        <v>6</v>
      </c>
      <c r="G62" s="1">
        <f>354+364</f>
        <v>718</v>
      </c>
      <c r="H62" s="3">
        <f>546+556</f>
        <v>1102</v>
      </c>
      <c r="I62" s="2">
        <f>SUM(H62)/F62</f>
        <v>183.66666666666666</v>
      </c>
      <c r="J62" s="1">
        <v>364</v>
      </c>
      <c r="K62" s="1">
        <v>556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141.45833333333334</v>
      </c>
      <c r="E63" s="3">
        <f>SUM(200-D63)*0.8</f>
        <v>46.833333333333329</v>
      </c>
      <c r="F63" s="1">
        <f>21+3</f>
        <v>24</v>
      </c>
      <c r="G63" s="1">
        <f>3033+362</f>
        <v>3395</v>
      </c>
      <c r="H63" s="3">
        <f>3951+497</f>
        <v>4448</v>
      </c>
      <c r="I63" s="2">
        <f>SUM(H63)/F63</f>
        <v>185.33333333333334</v>
      </c>
      <c r="J63" s="1">
        <v>362</v>
      </c>
      <c r="K63" s="1">
        <v>497</v>
      </c>
      <c r="L63" s="1">
        <v>124</v>
      </c>
      <c r="M63" s="1">
        <v>169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173.04791238877482</v>
      </c>
      <c r="E68" s="10"/>
      <c r="F68" s="5">
        <f>SUM(F33:F66)</f>
        <v>1461</v>
      </c>
      <c r="G68" s="5">
        <f>SUM(G33:G66)</f>
        <v>252823</v>
      </c>
      <c r="H68" s="10">
        <f>SUM(H33:H66)</f>
        <v>285825</v>
      </c>
      <c r="I68" s="8">
        <f>SUM(H68)/F68</f>
        <v>195.63655030800822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152.80000000000001</v>
      </c>
      <c r="E72" s="3">
        <f>SUM(200-D72)*0.8</f>
        <v>37.759999999999991</v>
      </c>
      <c r="F72" s="1">
        <f>84+3+3</f>
        <v>90</v>
      </c>
      <c r="G72" s="1">
        <f>12950+367+435</f>
        <v>13752</v>
      </c>
      <c r="H72" s="3">
        <f>16031+478+549</f>
        <v>17058</v>
      </c>
      <c r="I72" s="2">
        <f>SUM(H72)/F72</f>
        <v>189.53333333333333</v>
      </c>
      <c r="J72" s="1">
        <v>435</v>
      </c>
      <c r="K72" s="1">
        <v>549</v>
      </c>
      <c r="L72" s="1">
        <v>171</v>
      </c>
      <c r="M72" s="1">
        <v>209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161.27777777777777</v>
      </c>
      <c r="E73" s="3">
        <f>SUM(200-D73)*0.8</f>
        <v>30.977777777777785</v>
      </c>
      <c r="F73" s="1">
        <f>48+3+3</f>
        <v>54</v>
      </c>
      <c r="G73" s="1">
        <f>7831+411+467</f>
        <v>8709</v>
      </c>
      <c r="H73" s="3">
        <f>9247+498+557</f>
        <v>10302</v>
      </c>
      <c r="I73" s="2">
        <f>SUM(H73)/F73</f>
        <v>190.77777777777777</v>
      </c>
      <c r="J73" s="1">
        <v>467</v>
      </c>
      <c r="K73" s="1">
        <v>557</v>
      </c>
      <c r="L73" s="1">
        <v>183</v>
      </c>
      <c r="M73" s="1">
        <v>213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155.01666666666668</v>
      </c>
      <c r="E74" s="3">
        <f>SUM(200-D74)*0.8</f>
        <v>35.986666666666657</v>
      </c>
      <c r="F74" s="1">
        <f>57+3</f>
        <v>60</v>
      </c>
      <c r="G74" s="1">
        <f>8913+388</f>
        <v>9301</v>
      </c>
      <c r="H74" s="3">
        <f>11013+493</f>
        <v>11506</v>
      </c>
      <c r="I74" s="2">
        <f>SUM(H74)/F74</f>
        <v>191.76666666666668</v>
      </c>
      <c r="J74" s="1">
        <v>388</v>
      </c>
      <c r="K74" s="1">
        <v>493</v>
      </c>
      <c r="L74" s="1">
        <v>137</v>
      </c>
      <c r="M74" s="1">
        <v>172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161.63333333333333</v>
      </c>
      <c r="E75" s="3">
        <f>SUM(200-D75)*0.8</f>
        <v>30.693333333333342</v>
      </c>
      <c r="F75" s="1">
        <f>57+3</f>
        <v>60</v>
      </c>
      <c r="G75" s="1">
        <f>9225+473</f>
        <v>9698</v>
      </c>
      <c r="H75" s="3">
        <f>11268+566</f>
        <v>11834</v>
      </c>
      <c r="I75" s="2">
        <f>SUM(H75)/F75</f>
        <v>197.23333333333332</v>
      </c>
      <c r="J75" s="1">
        <v>473</v>
      </c>
      <c r="K75" s="1">
        <v>566</v>
      </c>
      <c r="L75" s="1">
        <v>168</v>
      </c>
      <c r="M75" s="1">
        <v>199</v>
      </c>
    </row>
    <row r="76" spans="1:18" x14ac:dyDescent="0.35">
      <c r="A76" s="4" t="s">
        <v>13</v>
      </c>
      <c r="B76" s="4">
        <v>5</v>
      </c>
      <c r="C76" s="4" t="s">
        <v>222</v>
      </c>
      <c r="D76" s="2">
        <f>SUM(G76)/F76</f>
        <v>151.33333333333334</v>
      </c>
      <c r="E76" s="148">
        <f>SUM(200-D76)*0.8</f>
        <v>38.93333333333333</v>
      </c>
      <c r="F76" s="1">
        <f>3</f>
        <v>3</v>
      </c>
      <c r="G76" s="1">
        <f>454</f>
        <v>454</v>
      </c>
      <c r="H76" s="1">
        <f>571</f>
        <v>571</v>
      </c>
      <c r="I76" s="147">
        <f>SUM(H76)/F76</f>
        <v>190.33333333333334</v>
      </c>
      <c r="J76" s="1">
        <v>454</v>
      </c>
      <c r="K76" s="1">
        <v>571</v>
      </c>
      <c r="L76" s="1">
        <v>168</v>
      </c>
      <c r="M76" s="4">
        <v>207</v>
      </c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1" t="s">
        <v>13</v>
      </c>
      <c r="B78" s="1">
        <v>7</v>
      </c>
      <c r="C78" s="4" t="s">
        <v>50</v>
      </c>
      <c r="D78" s="2">
        <f>SUM(G78)/F78</f>
        <v>126.04761904761905</v>
      </c>
      <c r="E78" s="3">
        <f>SUM(200-D78)*0.8</f>
        <v>59.161904761904765</v>
      </c>
      <c r="F78" s="1">
        <f>21</f>
        <v>21</v>
      </c>
      <c r="G78" s="1">
        <f>2647</f>
        <v>2647</v>
      </c>
      <c r="H78" s="3">
        <f>3808</f>
        <v>3808</v>
      </c>
      <c r="I78" s="2">
        <f>SUM(H78)/F78</f>
        <v>181.33333333333334</v>
      </c>
      <c r="J78" s="1">
        <v>424</v>
      </c>
      <c r="K78" s="1">
        <v>607</v>
      </c>
      <c r="L78" s="1">
        <v>163</v>
      </c>
      <c r="M78" s="1">
        <v>224</v>
      </c>
      <c r="O78" s="4">
        <f>SUM(200-D60)*0.8</f>
        <v>56.535999999999994</v>
      </c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152.625</v>
      </c>
      <c r="F80" s="1">
        <f>69+3</f>
        <v>72</v>
      </c>
      <c r="G80" s="1">
        <f>10533+456</f>
        <v>10989</v>
      </c>
      <c r="H80" s="3">
        <f>12630+546</f>
        <v>13176</v>
      </c>
      <c r="I80" s="2">
        <f>SUM(H80)/F80</f>
        <v>183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154.30555555555554</v>
      </c>
      <c r="E81" s="10"/>
      <c r="F81" s="5">
        <f>SUM(F72:F80)</f>
        <v>360</v>
      </c>
      <c r="G81" s="5">
        <f>SUM(G72:G80)</f>
        <v>55550</v>
      </c>
      <c r="H81" s="10">
        <f>SUM(H72:H80)</f>
        <v>68255</v>
      </c>
      <c r="I81" s="8">
        <f>SUM(H81)/F81</f>
        <v>189.59722222222223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8">SUM(G85)/F85</f>
        <v>169.41176470588235</v>
      </c>
      <c r="E85" s="3">
        <f t="shared" ref="E85:E90" si="9">SUM(200-D85)*0.8</f>
        <v>24.470588235294123</v>
      </c>
      <c r="F85" s="1">
        <f>45+3+3</f>
        <v>51</v>
      </c>
      <c r="G85" s="1">
        <f>7614+528+498</f>
        <v>8640</v>
      </c>
      <c r="H85" s="3">
        <f>8745+603+570</f>
        <v>9918</v>
      </c>
      <c r="I85" s="2">
        <f t="shared" ref="I85:I90" si="10">SUM(H85)/F85</f>
        <v>194.47058823529412</v>
      </c>
      <c r="J85" s="1">
        <v>528</v>
      </c>
      <c r="K85" s="1">
        <v>603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8"/>
        <v>150.30666666666667</v>
      </c>
      <c r="E86" s="3">
        <f t="shared" si="9"/>
        <v>39.754666666666665</v>
      </c>
      <c r="F86" s="1">
        <f>75</f>
        <v>75</v>
      </c>
      <c r="G86" s="1">
        <f>11273</f>
        <v>11273</v>
      </c>
      <c r="H86" s="3">
        <f>14292</f>
        <v>14292</v>
      </c>
      <c r="I86" s="2">
        <f t="shared" si="10"/>
        <v>190.56</v>
      </c>
      <c r="J86" s="1">
        <v>580</v>
      </c>
      <c r="K86" s="1">
        <v>703</v>
      </c>
      <c r="L86" s="1">
        <v>224</v>
      </c>
      <c r="M86" s="1">
        <v>265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8"/>
        <v>164.46315789473684</v>
      </c>
      <c r="E87" s="3">
        <f t="shared" si="9"/>
        <v>28.429473684210532</v>
      </c>
      <c r="F87" s="1">
        <f>92+3</f>
        <v>95</v>
      </c>
      <c r="G87" s="1">
        <f>15135+489</f>
        <v>15624</v>
      </c>
      <c r="H87" s="3">
        <f>17788+573</f>
        <v>18361</v>
      </c>
      <c r="I87" s="2">
        <f t="shared" si="10"/>
        <v>193.27368421052631</v>
      </c>
      <c r="J87" s="1">
        <v>489</v>
      </c>
      <c r="K87" s="1">
        <v>573</v>
      </c>
      <c r="L87" s="1">
        <v>175</v>
      </c>
      <c r="M87" s="1">
        <v>203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170.47619047619048</v>
      </c>
      <c r="E88" s="3">
        <f>SUM(200-D88)*0.8</f>
        <v>23.619047619047617</v>
      </c>
      <c r="F88" s="1">
        <f>15+3+3</f>
        <v>21</v>
      </c>
      <c r="G88" s="1">
        <f>2527+488+565</f>
        <v>3580</v>
      </c>
      <c r="H88" s="3">
        <f>2887+563+643</f>
        <v>4093</v>
      </c>
      <c r="I88" s="2">
        <f t="shared" si="10"/>
        <v>194.9047619047619</v>
      </c>
      <c r="J88" s="1">
        <v>565</v>
      </c>
      <c r="K88" s="1">
        <v>643</v>
      </c>
      <c r="L88" s="1">
        <v>211</v>
      </c>
      <c r="M88" s="1">
        <v>237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8"/>
        <v>166.16216216216216</v>
      </c>
      <c r="E89" s="3">
        <f t="shared" si="9"/>
        <v>27.070270270270271</v>
      </c>
      <c r="F89" s="1">
        <f>108+3</f>
        <v>111</v>
      </c>
      <c r="G89" s="1">
        <f>17924+520</f>
        <v>18444</v>
      </c>
      <c r="H89" s="3">
        <f>20714+601</f>
        <v>21315</v>
      </c>
      <c r="I89" s="2">
        <f t="shared" si="10"/>
        <v>192.02702702702703</v>
      </c>
      <c r="J89" s="1">
        <v>520</v>
      </c>
      <c r="K89" s="1">
        <v>601</v>
      </c>
      <c r="L89" s="1">
        <v>183</v>
      </c>
      <c r="M89" s="1">
        <v>210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8"/>
        <v>162.40740740740742</v>
      </c>
      <c r="E90" s="3">
        <f t="shared" si="9"/>
        <v>30.074074074074066</v>
      </c>
      <c r="F90" s="1">
        <f>102+3+3</f>
        <v>108</v>
      </c>
      <c r="G90" s="1">
        <f>16645+474+421</f>
        <v>17540</v>
      </c>
      <c r="H90" s="3">
        <f>19745+561+511</f>
        <v>20817</v>
      </c>
      <c r="I90" s="2">
        <f t="shared" si="10"/>
        <v>192.75</v>
      </c>
      <c r="J90" s="1">
        <v>474</v>
      </c>
      <c r="K90" s="1">
        <v>561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8"/>
        <v>157.42857142857142</v>
      </c>
      <c r="F91" s="1">
        <f>7</f>
        <v>7</v>
      </c>
      <c r="G91" s="1">
        <f>1102</f>
        <v>1102</v>
      </c>
      <c r="H91" s="3">
        <f>1287</f>
        <v>1287</v>
      </c>
      <c r="I91" s="2" t="s">
        <v>224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162.82692307692307</v>
      </c>
      <c r="E93" s="10"/>
      <c r="F93" s="5">
        <f>SUM(F85:F91)</f>
        <v>468</v>
      </c>
      <c r="G93" s="5">
        <f>SUM(G85:G91)</f>
        <v>76203</v>
      </c>
      <c r="H93" s="10">
        <f>SUM(H85:H92)</f>
        <v>90083</v>
      </c>
      <c r="I93" s="8">
        <f>SUM(H93)/F93</f>
        <v>192.48504273504273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11">SUM(G96)/F96</f>
        <v>166.72839506172841</v>
      </c>
      <c r="E96" s="3">
        <f t="shared" ref="E96:E102" si="12">SUM(200-D96)*0.8</f>
        <v>26.617283950617278</v>
      </c>
      <c r="F96" s="1">
        <f>78+3</f>
        <v>81</v>
      </c>
      <c r="G96" s="1">
        <f>12867+638</f>
        <v>13505</v>
      </c>
      <c r="H96" s="3">
        <f>14961+722</f>
        <v>15683</v>
      </c>
      <c r="I96" s="2">
        <f>SUM(H96)/F96</f>
        <v>193.61728395061729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11"/>
        <v>161.50793650793651</v>
      </c>
      <c r="E97" s="3">
        <f t="shared" si="12"/>
        <v>30.793650793650798</v>
      </c>
      <c r="F97" s="1">
        <f>57+3+3</f>
        <v>63</v>
      </c>
      <c r="G97" s="1">
        <f>9344+411+420</f>
        <v>10175</v>
      </c>
      <c r="H97" s="3">
        <f>11063+498+510</f>
        <v>12071</v>
      </c>
      <c r="I97" s="2">
        <f>SUM(H97)/F97</f>
        <v>191.60317460317461</v>
      </c>
      <c r="J97" s="1">
        <v>420</v>
      </c>
      <c r="K97" s="1">
        <v>510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11"/>
        <v>174.77083333333334</v>
      </c>
      <c r="E98" s="3">
        <f t="shared" si="12"/>
        <v>20.183333333333326</v>
      </c>
      <c r="F98" s="1">
        <f>93+3</f>
        <v>96</v>
      </c>
      <c r="G98" s="1">
        <f>16353+425</f>
        <v>16778</v>
      </c>
      <c r="H98" s="3">
        <f>18132+482</f>
        <v>18614</v>
      </c>
      <c r="I98" s="2">
        <v>188.66</v>
      </c>
      <c r="J98" s="1">
        <v>425</v>
      </c>
      <c r="K98" s="1">
        <v>482</v>
      </c>
      <c r="L98" s="1">
        <v>171</v>
      </c>
      <c r="M98" s="1">
        <v>190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11"/>
        <v>165.94897959183675</v>
      </c>
      <c r="E99" s="3">
        <f t="shared" si="12"/>
        <v>27.240816326530606</v>
      </c>
      <c r="F99" s="1">
        <f>95+3</f>
        <v>98</v>
      </c>
      <c r="G99" s="1">
        <f>15808+455</f>
        <v>16263</v>
      </c>
      <c r="H99" s="3">
        <f>18146+536</f>
        <v>18682</v>
      </c>
      <c r="I99" s="2">
        <v>193.33</v>
      </c>
      <c r="J99" s="1">
        <v>455</v>
      </c>
      <c r="K99" s="1">
        <v>536</v>
      </c>
      <c r="L99" s="1">
        <v>163</v>
      </c>
      <c r="M99" s="1">
        <v>190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11"/>
        <v>179.14102564102564</v>
      </c>
      <c r="E100" s="3">
        <f t="shared" si="12"/>
        <v>16.687179487179492</v>
      </c>
      <c r="F100" s="1">
        <f>75+3</f>
        <v>78</v>
      </c>
      <c r="G100" s="1">
        <f>13400+573</f>
        <v>13973</v>
      </c>
      <c r="H100" s="3">
        <f>14615+624</f>
        <v>15239</v>
      </c>
      <c r="I100" s="2">
        <f>SUM(H100)/F100</f>
        <v>195.37179487179486</v>
      </c>
      <c r="J100" s="1">
        <v>573</v>
      </c>
      <c r="K100" s="1">
        <v>624</v>
      </c>
      <c r="L100" s="1">
        <v>235</v>
      </c>
      <c r="M100" s="1">
        <v>252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11"/>
        <v>171.16161616161617</v>
      </c>
      <c r="E101" s="3">
        <f t="shared" si="12"/>
        <v>23.070707070707069</v>
      </c>
      <c r="F101" s="1">
        <f>96+3</f>
        <v>99</v>
      </c>
      <c r="G101" s="1">
        <f>16556+389</f>
        <v>16945</v>
      </c>
      <c r="H101" s="3">
        <f>18690+455</f>
        <v>19145</v>
      </c>
      <c r="I101" s="2">
        <f>SUM(H101)/F101</f>
        <v>193.38383838383839</v>
      </c>
      <c r="J101" s="1">
        <v>389</v>
      </c>
      <c r="K101" s="1">
        <v>455</v>
      </c>
      <c r="L101" s="1">
        <v>145</v>
      </c>
      <c r="M101" s="1">
        <v>167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11"/>
        <v>159.45555555555555</v>
      </c>
      <c r="E102" s="3">
        <f t="shared" si="12"/>
        <v>32.43555555555556</v>
      </c>
      <c r="F102" s="1">
        <f>87+3</f>
        <v>90</v>
      </c>
      <c r="G102" s="1">
        <f>13886+465</f>
        <v>14351</v>
      </c>
      <c r="H102" s="3">
        <f>17228+561</f>
        <v>17789</v>
      </c>
      <c r="I102" s="2">
        <f>SUM(H102)/F102</f>
        <v>197.65555555555557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147.80000000000001</v>
      </c>
      <c r="F104" s="1">
        <f>10</f>
        <v>10</v>
      </c>
      <c r="G104" s="1">
        <f>1478</f>
        <v>1478</v>
      </c>
      <c r="H104" s="3">
        <f>1732</f>
        <v>1732</v>
      </c>
      <c r="I104" s="2">
        <f>SUM(H104)/F104</f>
        <v>173.2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4"/>
      <c r="D107" s="4"/>
      <c r="E107" s="5" t="s">
        <v>71</v>
      </c>
      <c r="F107" s="8">
        <f>SUM(G93)/F93</f>
        <v>162.82692307692307</v>
      </c>
      <c r="G107" s="10"/>
      <c r="H107" s="5">
        <f>SUM(F96:F103)</f>
        <v>605</v>
      </c>
      <c r="I107" s="5">
        <f>SUM(G96:G103)</f>
        <v>101990</v>
      </c>
      <c r="J107" s="10">
        <f>SUM(H96:H103)</f>
        <v>117223</v>
      </c>
      <c r="K107" s="2">
        <f>SUM(J107)/H107</f>
        <v>193.75702479338844</v>
      </c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>SUM(G112)/F112</f>
        <v>178.80459770114942</v>
      </c>
      <c r="E112" s="3">
        <f>SUM(200-D112)*0.8</f>
        <v>16.956321839080466</v>
      </c>
      <c r="F112" s="1">
        <f>81+3+3</f>
        <v>87</v>
      </c>
      <c r="G112" s="1">
        <f>14420+525+611</f>
        <v>15556</v>
      </c>
      <c r="H112" s="3">
        <f>16128+579+665</f>
        <v>17372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>SUM(G113)/F113</f>
        <v>166.375</v>
      </c>
      <c r="E113" s="3">
        <f>SUM(200-D113)*0.8</f>
        <v>26.900000000000002</v>
      </c>
      <c r="F113" s="1">
        <f>90+3+3</f>
        <v>96</v>
      </c>
      <c r="G113" s="1">
        <f>15027+498+447</f>
        <v>15972</v>
      </c>
      <c r="H113" s="3">
        <f>17521+602+525</f>
        <v>18648</v>
      </c>
      <c r="I113" s="2">
        <f>SUM(H113)/F113</f>
        <v>194.25</v>
      </c>
      <c r="J113" s="1">
        <v>498</v>
      </c>
      <c r="K113" s="1">
        <v>602</v>
      </c>
      <c r="L113" s="1">
        <v>205</v>
      </c>
      <c r="M113" s="1">
        <v>231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>SUM(G114)/F114</f>
        <v>164.6888888888889</v>
      </c>
      <c r="E114" s="3">
        <f>SUM(200-D114)*0.8</f>
        <v>28.248888888888885</v>
      </c>
      <c r="F114" s="1">
        <f>84+3+3</f>
        <v>90</v>
      </c>
      <c r="G114" s="1">
        <f>13807+485+530</f>
        <v>14822</v>
      </c>
      <c r="H114" s="3">
        <f>16372+572+617</f>
        <v>17561</v>
      </c>
      <c r="I114" s="2">
        <f>SUM(H114)/F114</f>
        <v>195.12222222222223</v>
      </c>
      <c r="J114" s="1">
        <v>530</v>
      </c>
      <c r="K114" s="1">
        <v>617</v>
      </c>
      <c r="L114" s="1">
        <v>202</v>
      </c>
      <c r="M114" s="1">
        <v>231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>SUM(G115)/F115</f>
        <v>188.89743589743588</v>
      </c>
      <c r="E115" s="3">
        <f>SUM(200-D115)*0.8</f>
        <v>8.8820512820512931</v>
      </c>
      <c r="F115" s="1">
        <f>75+3</f>
        <v>78</v>
      </c>
      <c r="G115" s="1">
        <f>14235+499</f>
        <v>14734</v>
      </c>
      <c r="H115" s="3">
        <f>14925+523</f>
        <v>15448</v>
      </c>
      <c r="I115" s="2">
        <f>SUM(H115)/F115</f>
        <v>198.05128205128204</v>
      </c>
      <c r="J115" s="1">
        <v>499</v>
      </c>
      <c r="K115" s="1">
        <v>523</v>
      </c>
      <c r="L115" s="1">
        <v>181</v>
      </c>
      <c r="M115" s="1">
        <v>189</v>
      </c>
    </row>
    <row r="116" spans="1:17" x14ac:dyDescent="0.35">
      <c r="A116" s="1" t="s">
        <v>15</v>
      </c>
      <c r="B116" s="1">
        <v>8</v>
      </c>
      <c r="C116" s="1" t="s">
        <v>142</v>
      </c>
      <c r="D116" s="2">
        <f>SUM(G116)/F116</f>
        <v>160.74074074074073</v>
      </c>
      <c r="E116" s="3">
        <f>SUM(200-D116)*0.8</f>
        <v>31.407407407407415</v>
      </c>
      <c r="F116" s="1">
        <f>24+3</f>
        <v>27</v>
      </c>
      <c r="G116" s="1">
        <f>3922+418</f>
        <v>4340</v>
      </c>
      <c r="H116" s="3">
        <f>4479+505</f>
        <v>4984</v>
      </c>
      <c r="I116" s="2">
        <f>SUM(H116)/F116</f>
        <v>184.59259259259258</v>
      </c>
      <c r="J116" s="1">
        <v>418</v>
      </c>
      <c r="K116" s="1">
        <v>505</v>
      </c>
      <c r="L116" s="1">
        <v>149</v>
      </c>
      <c r="M116" s="1">
        <v>178</v>
      </c>
    </row>
    <row r="117" spans="1:17" x14ac:dyDescent="0.35">
      <c r="C117" s="4"/>
      <c r="D117" s="4"/>
      <c r="E117" s="4"/>
      <c r="F117" s="4"/>
      <c r="G117" s="4"/>
      <c r="H117" s="4"/>
      <c r="I117" s="4"/>
    </row>
    <row r="119" spans="1:17" x14ac:dyDescent="0.35">
      <c r="A119" s="4"/>
      <c r="B119" s="4"/>
      <c r="C119" s="1" t="s">
        <v>57</v>
      </c>
      <c r="D119" s="2">
        <f>SUM(G119)/F119</f>
        <v>159</v>
      </c>
      <c r="F119" s="1">
        <f>6</f>
        <v>6</v>
      </c>
      <c r="G119" s="1">
        <f>954</f>
        <v>954</v>
      </c>
      <c r="H119" s="3">
        <f>1104</f>
        <v>1104</v>
      </c>
      <c r="I119" s="2">
        <f>SUM(H119)/F119</f>
        <v>184</v>
      </c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130" t="s">
        <v>71</v>
      </c>
      <c r="D120" s="131">
        <f ca="1">SUM(G120)/F120</f>
        <v>0.86714658320292126</v>
      </c>
      <c r="E120" s="132"/>
      <c r="F120" s="130">
        <f>SUM(F112:F119)</f>
        <v>384</v>
      </c>
      <c r="G120" s="130">
        <f ca="1">SUM(G112:G133)</f>
        <v>83116</v>
      </c>
      <c r="H120" s="132">
        <f ca="1">SUM(H112:H133)</f>
        <v>94404</v>
      </c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3" x14ac:dyDescent="0.35">
      <c r="A129" s="1" t="s">
        <v>15</v>
      </c>
      <c r="B129" s="1">
        <v>3</v>
      </c>
      <c r="C129" s="11" t="s">
        <v>17</v>
      </c>
      <c r="D129" s="2">
        <f t="shared" ref="D129:D134" si="13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3" x14ac:dyDescent="0.35">
      <c r="A130" s="1" t="s">
        <v>15</v>
      </c>
      <c r="B130" s="1">
        <v>7</v>
      </c>
      <c r="C130" s="11" t="s">
        <v>137</v>
      </c>
      <c r="D130" s="2">
        <f t="shared" si="13"/>
        <v>166</v>
      </c>
      <c r="E130" s="3">
        <f t="shared" ref="E130:E142" si="14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5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3" x14ac:dyDescent="0.35">
      <c r="A131" s="1" t="s">
        <v>15</v>
      </c>
      <c r="B131" s="1">
        <v>8</v>
      </c>
      <c r="C131" s="11" t="s">
        <v>138</v>
      </c>
      <c r="D131" s="2">
        <f t="shared" si="13"/>
        <v>161.66666666666666</v>
      </c>
      <c r="E131" s="3">
        <f t="shared" si="14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5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3" x14ac:dyDescent="0.35">
      <c r="A132" s="1" t="s">
        <v>15</v>
      </c>
      <c r="B132" s="1">
        <v>4</v>
      </c>
      <c r="C132" s="1" t="s">
        <v>75</v>
      </c>
      <c r="D132" s="2">
        <f t="shared" si="13"/>
        <v>171.85333333333332</v>
      </c>
      <c r="E132" s="3">
        <f t="shared" si="14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5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3" x14ac:dyDescent="0.35">
      <c r="A133" s="1" t="s">
        <v>15</v>
      </c>
      <c r="B133" s="1">
        <v>5</v>
      </c>
      <c r="C133" s="1" t="s">
        <v>133</v>
      </c>
      <c r="D133" s="2">
        <f t="shared" si="13"/>
        <v>172.43333333333334</v>
      </c>
      <c r="E133" s="3">
        <f t="shared" si="14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5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4" spans="1:13" x14ac:dyDescent="0.35">
      <c r="A134" s="1" t="s">
        <v>13</v>
      </c>
      <c r="B134" s="1">
        <v>6</v>
      </c>
      <c r="C134" s="1" t="s">
        <v>140</v>
      </c>
      <c r="D134" s="2">
        <f t="shared" si="13"/>
        <v>163.36666666666667</v>
      </c>
      <c r="E134" s="3">
        <f t="shared" si="14"/>
        <v>29.306666666666661</v>
      </c>
      <c r="F134" s="1">
        <f>3+3+3+3+3+3+3+3+3+3</f>
        <v>30</v>
      </c>
      <c r="G134" s="1">
        <f>479+552+453+456+467+468+497+486+470+573</f>
        <v>4901</v>
      </c>
      <c r="H134" s="3">
        <f>575+648+519+540+557+564+593+579+563+669</f>
        <v>5807</v>
      </c>
      <c r="I134" s="2">
        <f t="shared" si="15"/>
        <v>193.56666666666666</v>
      </c>
      <c r="J134" s="1">
        <v>573</v>
      </c>
      <c r="K134" s="1">
        <v>669</v>
      </c>
      <c r="L134" s="1">
        <v>212</v>
      </c>
      <c r="M134" s="1">
        <v>244</v>
      </c>
    </row>
    <row r="135" spans="1:13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4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5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3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5">
      <c r="A137" s="1" t="s">
        <v>15</v>
      </c>
      <c r="B137" s="1">
        <v>5</v>
      </c>
      <c r="C137" s="4" t="s">
        <v>34</v>
      </c>
      <c r="D137" s="2">
        <f t="shared" ref="D137:D142" si="16">SUM(G137)/F137</f>
        <v>137</v>
      </c>
      <c r="E137" s="3">
        <f t="shared" si="14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5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3" x14ac:dyDescent="0.35">
      <c r="A138" s="1" t="s">
        <v>13</v>
      </c>
      <c r="B138" s="1">
        <v>6</v>
      </c>
      <c r="C138" s="4" t="s">
        <v>49</v>
      </c>
      <c r="D138" s="2">
        <f t="shared" si="16"/>
        <v>147.4</v>
      </c>
      <c r="E138" s="3">
        <f t="shared" si="14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5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3" x14ac:dyDescent="0.35">
      <c r="A139" s="1" t="s">
        <v>13</v>
      </c>
      <c r="B139" s="1">
        <v>3</v>
      </c>
      <c r="C139" s="4" t="s">
        <v>37</v>
      </c>
      <c r="D139" s="2">
        <f t="shared" si="16"/>
        <v>167.64285714285714</v>
      </c>
      <c r="E139" s="3">
        <f t="shared" si="14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5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3" x14ac:dyDescent="0.35">
      <c r="A140" s="1" t="s">
        <v>15</v>
      </c>
      <c r="B140" s="1">
        <v>5</v>
      </c>
      <c r="C140" s="4" t="s">
        <v>39</v>
      </c>
      <c r="D140" s="2">
        <f t="shared" si="16"/>
        <v>163.4</v>
      </c>
      <c r="E140" s="3">
        <f t="shared" si="14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5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3" x14ac:dyDescent="0.35">
      <c r="A141" s="1" t="s">
        <v>15</v>
      </c>
      <c r="B141" s="1">
        <v>6</v>
      </c>
      <c r="C141" s="1" t="s">
        <v>139</v>
      </c>
      <c r="D141" s="2">
        <f t="shared" si="16"/>
        <v>166.54166666666666</v>
      </c>
      <c r="E141" s="3">
        <f t="shared" si="14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5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3" x14ac:dyDescent="0.35">
      <c r="A142" s="1" t="s">
        <v>15</v>
      </c>
      <c r="B142" s="1">
        <v>4</v>
      </c>
      <c r="C142" s="4" t="s">
        <v>38</v>
      </c>
      <c r="D142" s="2">
        <f t="shared" si="16"/>
        <v>166.38235294117646</v>
      </c>
      <c r="E142" s="3">
        <f t="shared" si="14"/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2</v>
      </c>
      <c r="F3" s="20" t="s">
        <v>78</v>
      </c>
      <c r="G3" s="21" t="s">
        <v>79</v>
      </c>
      <c r="H3" s="22">
        <v>46274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</f>
        <v>17</v>
      </c>
      <c r="E5" s="29">
        <f>2007+2006</f>
        <v>4013</v>
      </c>
      <c r="F5" s="29">
        <f>2241+2312</f>
        <v>4553</v>
      </c>
      <c r="G5" s="30">
        <f t="shared" ref="G5:G14" si="0">F5/I5</f>
        <v>189.70833333333334</v>
      </c>
      <c r="H5" s="30">
        <f t="shared" ref="H5:H15" si="1">E5/I5</f>
        <v>167.20833333333334</v>
      </c>
      <c r="I5" s="27">
        <f>SUM(E3)*12</f>
        <v>24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144</v>
      </c>
      <c r="D6" s="29">
        <f>8+8</f>
        <v>16</v>
      </c>
      <c r="E6" s="29">
        <f>1765+2252</f>
        <v>4017</v>
      </c>
      <c r="F6" s="29">
        <f>2200+2306</f>
        <v>4506</v>
      </c>
      <c r="G6" s="30">
        <f t="shared" si="0"/>
        <v>187.75</v>
      </c>
      <c r="H6" s="30">
        <f t="shared" si="1"/>
        <v>167.375</v>
      </c>
      <c r="I6" s="27">
        <f t="shared" ref="I6:I14" si="2">SUM(I5)</f>
        <v>24</v>
      </c>
    </row>
    <row r="7" spans="2:16" ht="21.75" thickBot="1" x14ac:dyDescent="0.3">
      <c r="B7" s="28">
        <v>3</v>
      </c>
      <c r="C7" s="29" t="s">
        <v>207</v>
      </c>
      <c r="D7" s="29">
        <f>7+7</f>
        <v>14</v>
      </c>
      <c r="E7" s="29">
        <f>2280+2280</f>
        <v>4560</v>
      </c>
      <c r="F7" s="29">
        <f>2280+2280</f>
        <v>4560</v>
      </c>
      <c r="G7" s="30">
        <f t="shared" si="0"/>
        <v>190</v>
      </c>
      <c r="H7" s="30">
        <f t="shared" si="1"/>
        <v>190</v>
      </c>
      <c r="I7" s="27">
        <f t="shared" si="2"/>
        <v>24</v>
      </c>
    </row>
    <row r="8" spans="2:16" ht="21.75" thickBot="1" x14ac:dyDescent="0.3">
      <c r="B8" s="28">
        <v>4</v>
      </c>
      <c r="C8" s="29" t="s">
        <v>51</v>
      </c>
      <c r="D8" s="29">
        <f>7+6</f>
        <v>13</v>
      </c>
      <c r="E8" s="29">
        <f>1979+2004</f>
        <v>3983</v>
      </c>
      <c r="F8" s="29">
        <f>2300+2325</f>
        <v>4625</v>
      </c>
      <c r="G8" s="30">
        <f t="shared" si="0"/>
        <v>192.70833333333334</v>
      </c>
      <c r="H8" s="30">
        <f t="shared" si="1"/>
        <v>165.95833333333334</v>
      </c>
      <c r="I8" s="27">
        <f t="shared" si="2"/>
        <v>24</v>
      </c>
    </row>
    <row r="9" spans="2:16" ht="21.75" thickBot="1" x14ac:dyDescent="0.3">
      <c r="B9" s="34">
        <v>5</v>
      </c>
      <c r="C9" s="29" t="s">
        <v>88</v>
      </c>
      <c r="D9" s="29">
        <f>7+5</f>
        <v>12</v>
      </c>
      <c r="E9" s="29">
        <f>2101+1945</f>
        <v>4046</v>
      </c>
      <c r="F9" s="29">
        <f>2404+2230</f>
        <v>4634</v>
      </c>
      <c r="G9" s="30">
        <f t="shared" si="0"/>
        <v>193.08333333333334</v>
      </c>
      <c r="H9" s="30">
        <f t="shared" si="1"/>
        <v>168.58333333333334</v>
      </c>
      <c r="I9" s="27">
        <f t="shared" si="2"/>
        <v>24</v>
      </c>
    </row>
    <row r="10" spans="2:16" ht="21.75" thickBot="1" x14ac:dyDescent="0.3">
      <c r="B10" s="28">
        <v>6</v>
      </c>
      <c r="C10" s="29" t="s">
        <v>30</v>
      </c>
      <c r="D10" s="29">
        <f>9+3</f>
        <v>12</v>
      </c>
      <c r="E10" s="29">
        <f>1957+1831</f>
        <v>3788</v>
      </c>
      <c r="F10" s="29">
        <f>2230+2239</f>
        <v>4469</v>
      </c>
      <c r="G10" s="30">
        <f t="shared" si="0"/>
        <v>186.20833333333334</v>
      </c>
      <c r="H10" s="30">
        <f t="shared" si="1"/>
        <v>157.83333333333334</v>
      </c>
      <c r="I10" s="27">
        <f t="shared" si="2"/>
        <v>24</v>
      </c>
    </row>
    <row r="11" spans="2:16" ht="21.75" thickBot="1" x14ac:dyDescent="0.3">
      <c r="B11" s="28">
        <v>7</v>
      </c>
      <c r="C11" s="29" t="s">
        <v>206</v>
      </c>
      <c r="D11" s="29">
        <f>4+8</f>
        <v>12</v>
      </c>
      <c r="E11" s="29">
        <f>1522+1553</f>
        <v>3075</v>
      </c>
      <c r="F11" s="29">
        <f>2162+2177</f>
        <v>4339</v>
      </c>
      <c r="G11" s="30">
        <f t="shared" si="0"/>
        <v>180.79166666666666</v>
      </c>
      <c r="H11" s="30">
        <f t="shared" si="1"/>
        <v>128.125</v>
      </c>
      <c r="I11" s="27">
        <f t="shared" si="2"/>
        <v>24</v>
      </c>
    </row>
    <row r="12" spans="2:16" ht="21.75" thickBot="1" x14ac:dyDescent="0.3">
      <c r="B12" s="28">
        <v>8</v>
      </c>
      <c r="C12" s="29" t="s">
        <v>87</v>
      </c>
      <c r="D12" s="29">
        <f>1+7</f>
        <v>8</v>
      </c>
      <c r="E12" s="29">
        <f>1639+1812</f>
        <v>3451</v>
      </c>
      <c r="F12" s="29">
        <f>2035+2223</f>
        <v>4258</v>
      </c>
      <c r="G12" s="30">
        <f t="shared" si="0"/>
        <v>177.41666666666666</v>
      </c>
      <c r="H12" s="30">
        <f t="shared" si="1"/>
        <v>143.79166666666666</v>
      </c>
      <c r="I12" s="27">
        <f t="shared" si="2"/>
        <v>24</v>
      </c>
    </row>
    <row r="13" spans="2:16" ht="21.75" thickBot="1" x14ac:dyDescent="0.3">
      <c r="B13" s="28">
        <v>9</v>
      </c>
      <c r="C13" s="29" t="s">
        <v>58</v>
      </c>
      <c r="D13" s="29">
        <f>5+2</f>
        <v>7</v>
      </c>
      <c r="E13" s="29">
        <f>1939+1837</f>
        <v>3776</v>
      </c>
      <c r="F13" s="29">
        <f>2263+2125</f>
        <v>4388</v>
      </c>
      <c r="G13" s="30">
        <f t="shared" si="0"/>
        <v>182.83333333333334</v>
      </c>
      <c r="H13" s="30">
        <f t="shared" si="1"/>
        <v>157.33333333333334</v>
      </c>
      <c r="I13" s="27">
        <f t="shared" si="2"/>
        <v>24</v>
      </c>
    </row>
    <row r="14" spans="2:16" ht="21.75" thickBot="1" x14ac:dyDescent="0.3">
      <c r="B14" s="28">
        <v>10</v>
      </c>
      <c r="C14" s="29" t="s">
        <v>23</v>
      </c>
      <c r="D14" s="29">
        <f>1+6</f>
        <v>7</v>
      </c>
      <c r="E14" s="29">
        <f>1582+2006</f>
        <v>3588</v>
      </c>
      <c r="F14" s="29">
        <f>1987+2309</f>
        <v>4296</v>
      </c>
      <c r="G14" s="30">
        <f t="shared" si="0"/>
        <v>179</v>
      </c>
      <c r="H14" s="30">
        <f t="shared" si="1"/>
        <v>149.5</v>
      </c>
      <c r="I14" s="27">
        <f t="shared" si="2"/>
        <v>24</v>
      </c>
    </row>
    <row r="15" spans="2:16" ht="21.75" thickBot="1" x14ac:dyDescent="0.3">
      <c r="B15" s="28"/>
      <c r="C15" s="25" t="s">
        <v>89</v>
      </c>
      <c r="D15" s="29"/>
      <c r="E15" s="26">
        <f>SUM(E3:E14)</f>
        <v>38299</v>
      </c>
      <c r="F15" s="26">
        <f>SUM(F3:F14)</f>
        <v>44628</v>
      </c>
      <c r="G15" s="30" t="e">
        <f>F16/I16</f>
        <v>#DIV/0!</v>
      </c>
      <c r="H15" s="30" t="e">
        <f t="shared" si="1"/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240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2</v>
      </c>
      <c r="F19" s="20" t="s">
        <v>78</v>
      </c>
      <c r="G19" s="21" t="s">
        <v>79</v>
      </c>
      <c r="H19" s="22">
        <f>SUM(H3)</f>
        <v>46274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204</v>
      </c>
      <c r="D21" s="29">
        <v>10</v>
      </c>
      <c r="E21" s="29">
        <v>2006</v>
      </c>
      <c r="F21" s="29">
        <v>2312</v>
      </c>
      <c r="G21" s="30">
        <f t="shared" ref="G21:G30" si="3">F21/I21</f>
        <v>192.66666666666666</v>
      </c>
      <c r="H21" s="30">
        <f t="shared" ref="H21:H30" si="4">E21/I21</f>
        <v>167.16666666666666</v>
      </c>
      <c r="I21" s="27">
        <v>12</v>
      </c>
    </row>
    <row r="22" spans="2:17" ht="21.75" thickBot="1" x14ac:dyDescent="0.3">
      <c r="B22" s="28">
        <v>2</v>
      </c>
      <c r="C22" s="29" t="s">
        <v>144</v>
      </c>
      <c r="D22" s="29">
        <v>8</v>
      </c>
      <c r="E22" s="29">
        <v>2252</v>
      </c>
      <c r="F22" s="29">
        <v>2306</v>
      </c>
      <c r="G22" s="30">
        <f t="shared" si="3"/>
        <v>192.16666666666666</v>
      </c>
      <c r="H22" s="30">
        <f t="shared" si="4"/>
        <v>187.66666666666666</v>
      </c>
      <c r="I22" s="27">
        <v>12</v>
      </c>
    </row>
    <row r="23" spans="2:17" ht="21.75" thickBot="1" x14ac:dyDescent="0.3">
      <c r="B23" s="28">
        <v>3</v>
      </c>
      <c r="C23" s="29" t="s">
        <v>206</v>
      </c>
      <c r="D23" s="29">
        <v>8</v>
      </c>
      <c r="E23" s="29">
        <v>1553</v>
      </c>
      <c r="F23" s="29">
        <v>2177</v>
      </c>
      <c r="G23" s="30">
        <f t="shared" si="3"/>
        <v>181.41666666666666</v>
      </c>
      <c r="H23" s="30">
        <f t="shared" si="4"/>
        <v>129.41666666666666</v>
      </c>
      <c r="I23" s="27">
        <v>12</v>
      </c>
    </row>
    <row r="24" spans="2:17" ht="21.75" thickBot="1" x14ac:dyDescent="0.3">
      <c r="B24" s="28">
        <v>4</v>
      </c>
      <c r="C24" s="29" t="s">
        <v>207</v>
      </c>
      <c r="D24" s="29">
        <v>7</v>
      </c>
      <c r="E24" s="29">
        <v>2280</v>
      </c>
      <c r="F24" s="29">
        <v>2280</v>
      </c>
      <c r="G24" s="30">
        <f t="shared" si="3"/>
        <v>190</v>
      </c>
      <c r="H24" s="30">
        <f t="shared" si="4"/>
        <v>190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91</v>
      </c>
      <c r="D25" s="29">
        <v>7</v>
      </c>
      <c r="E25" s="29">
        <v>1812</v>
      </c>
      <c r="F25" s="29">
        <v>2223</v>
      </c>
      <c r="G25" s="30">
        <f t="shared" si="3"/>
        <v>185.25</v>
      </c>
      <c r="H25" s="30">
        <f t="shared" si="4"/>
        <v>151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51</v>
      </c>
      <c r="D26" s="29">
        <v>6</v>
      </c>
      <c r="E26" s="29">
        <v>2004</v>
      </c>
      <c r="F26" s="29">
        <v>2325</v>
      </c>
      <c r="G26" s="30">
        <f t="shared" si="3"/>
        <v>193.75</v>
      </c>
      <c r="H26" s="30">
        <f t="shared" si="4"/>
        <v>167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23</v>
      </c>
      <c r="D27" s="29">
        <v>6</v>
      </c>
      <c r="E27" s="29">
        <v>2006</v>
      </c>
      <c r="F27" s="29">
        <v>2309</v>
      </c>
      <c r="G27" s="30">
        <f t="shared" si="3"/>
        <v>192.41666666666666</v>
      </c>
      <c r="H27" s="30">
        <f t="shared" si="4"/>
        <v>167.16666666666666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88</v>
      </c>
      <c r="D28" s="29">
        <v>5</v>
      </c>
      <c r="E28" s="29">
        <v>1945</v>
      </c>
      <c r="F28" s="29">
        <v>2230</v>
      </c>
      <c r="G28" s="30">
        <f t="shared" si="3"/>
        <v>185.83333333333334</v>
      </c>
      <c r="H28" s="30">
        <f t="shared" si="4"/>
        <v>162.08333333333334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30</v>
      </c>
      <c r="D29" s="29">
        <v>3</v>
      </c>
      <c r="E29" s="29">
        <v>1831</v>
      </c>
      <c r="F29" s="29">
        <v>2239</v>
      </c>
      <c r="G29" s="30">
        <f t="shared" si="3"/>
        <v>186.58333333333334</v>
      </c>
      <c r="H29" s="30">
        <f t="shared" si="4"/>
        <v>152.58333333333334</v>
      </c>
      <c r="I29" s="27">
        <v>12</v>
      </c>
    </row>
    <row r="30" spans="2:17" ht="21.75" thickBot="1" x14ac:dyDescent="0.3">
      <c r="B30" s="34">
        <v>10</v>
      </c>
      <c r="C30" s="29" t="s">
        <v>58</v>
      </c>
      <c r="D30" s="29">
        <v>2</v>
      </c>
      <c r="E30" s="29">
        <v>1837</v>
      </c>
      <c r="F30" s="29">
        <v>2125</v>
      </c>
      <c r="G30" s="30">
        <f t="shared" si="3"/>
        <v>177.08333333333334</v>
      </c>
      <c r="H30" s="30">
        <f t="shared" si="4"/>
        <v>153.08333333333334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19526</v>
      </c>
      <c r="F33" s="38">
        <f>SUM(F21:F32)</f>
        <v>22526</v>
      </c>
      <c r="G33" s="30">
        <f>F33/I33</f>
        <v>187.71666666666667</v>
      </c>
      <c r="H33" s="30">
        <f>E33/I33</f>
        <v>162.71666666666667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2"/>
  <sheetViews>
    <sheetView workbookViewId="0">
      <selection activeCell="E18" sqref="E18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3</v>
      </c>
      <c r="F2" s="5" t="s">
        <v>1</v>
      </c>
      <c r="G2" s="7">
        <v>46281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164.3111111111111</v>
      </c>
      <c r="E5" s="3">
        <f t="shared" ref="E5:E10" si="0">SUM(200-D5)*0.8</f>
        <v>28.551111111111119</v>
      </c>
      <c r="F5" s="1">
        <f>81+3+3+3</f>
        <v>90</v>
      </c>
      <c r="G5" s="1">
        <f>13406+488+461+433</f>
        <v>14788</v>
      </c>
      <c r="H5" s="3">
        <f>16014+584+557+517</f>
        <v>17672</v>
      </c>
      <c r="I5" s="2">
        <f>SUM(H5)/F5</f>
        <v>196.35555555555555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177.95959595959596</v>
      </c>
      <c r="E6" s="3">
        <f t="shared" si="0"/>
        <v>17.632323232323234</v>
      </c>
      <c r="F6" s="1">
        <f>93+3+3</f>
        <v>99</v>
      </c>
      <c r="G6" s="1">
        <f>16611+518+489</f>
        <v>17618</v>
      </c>
      <c r="H6" s="3">
        <f>18506+569+543</f>
        <v>19618</v>
      </c>
      <c r="I6" s="2">
        <f>SUM(H6)/F6</f>
        <v>198.16161616161617</v>
      </c>
      <c r="J6" s="1">
        <v>518</v>
      </c>
      <c r="K6" s="1">
        <v>569</v>
      </c>
      <c r="L6" s="1">
        <v>217</v>
      </c>
      <c r="M6" s="1">
        <v>234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152.70588235294119</v>
      </c>
      <c r="E8" s="3">
        <f t="shared" si="0"/>
        <v>37.835294117647052</v>
      </c>
      <c r="F8" s="1">
        <f>59+3+3+3</f>
        <v>68</v>
      </c>
      <c r="G8" s="1">
        <f>9150+403+401+430</f>
        <v>10384</v>
      </c>
      <c r="H8" s="3">
        <f>11231+511+512+544</f>
        <v>12798</v>
      </c>
      <c r="I8" s="2">
        <f>SUM(H8)/F8</f>
        <v>188.20588235294119</v>
      </c>
      <c r="J8" s="1">
        <v>430</v>
      </c>
      <c r="K8" s="1">
        <v>544</v>
      </c>
      <c r="L8" s="1">
        <v>175</v>
      </c>
      <c r="M8" s="1">
        <v>213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188.52252252252254</v>
      </c>
      <c r="E9" s="3">
        <f t="shared" si="0"/>
        <v>9.1819819819819717</v>
      </c>
      <c r="F9" s="1">
        <f>102+3+3+3</f>
        <v>111</v>
      </c>
      <c r="G9" s="1">
        <f>19257+568+565+536</f>
        <v>20926</v>
      </c>
      <c r="H9" s="3">
        <f>20034+595+592+563</f>
        <v>21784</v>
      </c>
      <c r="I9" s="2">
        <f>SUM(H9)/F9</f>
        <v>196.25225225225225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171.83333333333334</v>
      </c>
      <c r="E10" s="3">
        <f t="shared" si="0"/>
        <v>22.533333333333328</v>
      </c>
      <c r="F10" s="1">
        <f>75+3</f>
        <v>78</v>
      </c>
      <c r="G10" s="1">
        <f>12761+642</f>
        <v>13403</v>
      </c>
      <c r="H10" s="3">
        <f>15264+714</f>
        <v>15978</v>
      </c>
      <c r="I10" s="2">
        <f>SUM(H10)/F10</f>
        <v>204.84615384615384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>
        <f>SUM(G11)/F11</f>
        <v>162.39285714285714</v>
      </c>
      <c r="F11" s="1">
        <f>28</f>
        <v>28</v>
      </c>
      <c r="G11" s="1">
        <f>4547</f>
        <v>4547</v>
      </c>
      <c r="H11" s="3">
        <f>5163</f>
        <v>5163</v>
      </c>
      <c r="I11" s="2">
        <f>SUM(H11)/F11</f>
        <v>184.39285714285714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172.29113924050634</v>
      </c>
      <c r="E13" s="10"/>
      <c r="F13" s="5">
        <f>SUM(F5:F12)</f>
        <v>474</v>
      </c>
      <c r="G13" s="15">
        <f>SUM(G5:G12)</f>
        <v>81666</v>
      </c>
      <c r="H13" s="10">
        <f>SUM(H5:H12)</f>
        <v>93013</v>
      </c>
      <c r="I13" s="8">
        <f>SUM(H13)/F13</f>
        <v>196.22995780590716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3" si="1">SUM(G17)/F17</f>
        <v>183.28431372549019</v>
      </c>
      <c r="E17" s="3">
        <f t="shared" ref="E17:E22" si="2">SUM(200-D17)*0.8</f>
        <v>13.372549019607845</v>
      </c>
      <c r="F17" s="1">
        <f>93+3+3+3</f>
        <v>102</v>
      </c>
      <c r="G17" s="1">
        <f>17166+524+546+459</f>
        <v>18695</v>
      </c>
      <c r="H17" s="3">
        <f>18348+560+585+498</f>
        <v>19991</v>
      </c>
      <c r="I17" s="2">
        <v>192.66</v>
      </c>
      <c r="J17" s="1">
        <v>546</v>
      </c>
      <c r="K17" s="1">
        <v>585</v>
      </c>
      <c r="L17" s="1">
        <v>199</v>
      </c>
      <c r="M17" s="1">
        <v>212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149.19999999999999</v>
      </c>
      <c r="E18" s="3">
        <f t="shared" si="2"/>
        <v>40.640000000000015</v>
      </c>
      <c r="F18" s="1">
        <f>57+3</f>
        <v>60</v>
      </c>
      <c r="G18" s="1">
        <f>8611+341</f>
        <v>8952</v>
      </c>
      <c r="H18" s="3">
        <f>10789+458</f>
        <v>11247</v>
      </c>
      <c r="I18" s="2">
        <v>192.9111111111111</v>
      </c>
      <c r="J18" s="1">
        <v>341</v>
      </c>
      <c r="K18" s="1">
        <v>458</v>
      </c>
      <c r="L18" s="1">
        <v>122</v>
      </c>
      <c r="M18" s="1">
        <v>161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169.18518518518519</v>
      </c>
      <c r="E19" s="3">
        <f t="shared" si="2"/>
        <v>24.651851851851848</v>
      </c>
      <c r="F19" s="1">
        <f>21+3+3</f>
        <v>27</v>
      </c>
      <c r="G19" s="1">
        <f>3539+538+491</f>
        <v>4568</v>
      </c>
      <c r="H19" s="3">
        <f>4052+613+563</f>
        <v>5228</v>
      </c>
      <c r="I19" s="2">
        <f>SUM(H19)/F19</f>
        <v>193.62962962962962</v>
      </c>
      <c r="J19" s="1">
        <v>538</v>
      </c>
      <c r="K19" s="1">
        <v>613</v>
      </c>
      <c r="L19" s="1">
        <v>184</v>
      </c>
      <c r="M19" s="1">
        <v>209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142.78703703703704</v>
      </c>
      <c r="E20" s="3">
        <f t="shared" si="2"/>
        <v>45.770370370370372</v>
      </c>
      <c r="F20" s="1">
        <f>99+3+3+3</f>
        <v>108</v>
      </c>
      <c r="G20" s="1">
        <f>14326+304+428+363</f>
        <v>15421</v>
      </c>
      <c r="H20" s="3">
        <f>18808+436+566+501</f>
        <v>20311</v>
      </c>
      <c r="I20" s="2">
        <f>SUM(H20)/F20</f>
        <v>188.06481481481481</v>
      </c>
      <c r="J20" s="1">
        <v>428</v>
      </c>
      <c r="K20" s="1">
        <v>566</v>
      </c>
      <c r="L20" s="1">
        <v>153</v>
      </c>
      <c r="M20" s="1">
        <v>199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149.34444444444443</v>
      </c>
      <c r="E21" s="3">
        <f t="shared" si="2"/>
        <v>40.524444444444455</v>
      </c>
      <c r="F21" s="1">
        <f>87+3</f>
        <v>90</v>
      </c>
      <c r="G21" s="1">
        <f>13028+413</f>
        <v>13441</v>
      </c>
      <c r="H21" s="3">
        <f>16637+533</f>
        <v>17170</v>
      </c>
      <c r="I21" s="2">
        <f>SUM(H21)/F21</f>
        <v>190.77777777777777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177.65625</v>
      </c>
      <c r="E22" s="3">
        <f t="shared" si="2"/>
        <v>17.875</v>
      </c>
      <c r="F22" s="1">
        <f>90+3+3</f>
        <v>96</v>
      </c>
      <c r="G22" s="1">
        <f>16066+494+495</f>
        <v>17055</v>
      </c>
      <c r="H22" s="3">
        <f>17575+545+549</f>
        <v>18669</v>
      </c>
      <c r="I22" s="2">
        <f>SUM(H22)/F22</f>
        <v>194.46875</v>
      </c>
      <c r="J22" s="1">
        <v>495</v>
      </c>
      <c r="K22" s="1">
        <v>549</v>
      </c>
      <c r="L22" s="1">
        <v>177</v>
      </c>
      <c r="M22" s="1">
        <v>194</v>
      </c>
    </row>
    <row r="23" spans="1:17" x14ac:dyDescent="0.35">
      <c r="C23" s="4" t="s">
        <v>21</v>
      </c>
      <c r="D23" s="2">
        <f t="shared" si="1"/>
        <v>404.5</v>
      </c>
      <c r="F23" s="1">
        <f>18</f>
        <v>18</v>
      </c>
      <c r="G23" s="1">
        <f>7281</f>
        <v>7281</v>
      </c>
      <c r="H23" s="3">
        <f>3294</f>
        <v>3294</v>
      </c>
      <c r="I23" s="2">
        <f>SUM(H23)/F23</f>
        <v>183</v>
      </c>
    </row>
    <row r="24" spans="1:17" x14ac:dyDescent="0.35">
      <c r="C24" s="4"/>
      <c r="F24" s="12"/>
      <c r="G24" s="12"/>
      <c r="H24" s="13"/>
    </row>
    <row r="25" spans="1:17" x14ac:dyDescent="0.35">
      <c r="C25" s="14" t="s">
        <v>22</v>
      </c>
      <c r="D25" s="8">
        <f>SUM(G25)/F25</f>
        <v>170.48502994011977</v>
      </c>
      <c r="E25" s="10"/>
      <c r="F25" s="5">
        <f>SUM(F17:F23)</f>
        <v>501</v>
      </c>
      <c r="G25" s="15">
        <f>SUM(G17:G24)</f>
        <v>85413</v>
      </c>
      <c r="H25" s="10">
        <f>SUM(H17:H24)</f>
        <v>95910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3">SUM(G29)/F29</f>
        <v>177.80208333333334</v>
      </c>
      <c r="E29" s="3">
        <f>SUM(200-D29)*0.8</f>
        <v>17.758333333333326</v>
      </c>
      <c r="F29" s="1">
        <f>87+3+3+3</f>
        <v>96</v>
      </c>
      <c r="G29" s="1">
        <f>15512+553+492+512</f>
        <v>17069</v>
      </c>
      <c r="H29" s="3">
        <f>17093+604+546+566</f>
        <v>18809</v>
      </c>
      <c r="I29" s="2">
        <f t="shared" ref="I29:I34" si="4">SUM(H29)/F29</f>
        <v>195.92708333333334</v>
      </c>
      <c r="J29" s="1">
        <v>553</v>
      </c>
      <c r="K29" s="1">
        <v>604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3"/>
        <v>87.166666666666671</v>
      </c>
      <c r="E30" s="3">
        <v>64</v>
      </c>
      <c r="F30" s="1">
        <f>3+3</f>
        <v>6</v>
      </c>
      <c r="G30" s="1">
        <f>308+215</f>
        <v>523</v>
      </c>
      <c r="H30" s="3">
        <f>500+407</f>
        <v>907</v>
      </c>
      <c r="I30" s="2">
        <f t="shared" si="4"/>
        <v>151.16666666666666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3"/>
        <v>123.33333333333333</v>
      </c>
      <c r="E31" s="3">
        <v>64</v>
      </c>
      <c r="F31" s="1">
        <f>3+3</f>
        <v>6</v>
      </c>
      <c r="G31" s="1">
        <f>332+408</f>
        <v>740</v>
      </c>
      <c r="H31" s="3" t="s">
        <v>228</v>
      </c>
      <c r="I31" s="2">
        <f t="shared" si="4"/>
        <v>0</v>
      </c>
      <c r="J31" s="1">
        <v>408</v>
      </c>
      <c r="K31" s="1">
        <v>600</v>
      </c>
      <c r="L31" s="1">
        <v>146</v>
      </c>
      <c r="M31" s="1">
        <v>210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3"/>
        <v>201.06410256410257</v>
      </c>
      <c r="E32" s="3">
        <f>SUM(200-D32)*0.8</f>
        <v>-0.85128205128205536</v>
      </c>
      <c r="F32" s="1">
        <f>72+3+3</f>
        <v>78</v>
      </c>
      <c r="G32" s="1">
        <f>14572+572+539</f>
        <v>15683</v>
      </c>
      <c r="H32" s="3">
        <f>14596+572+539</f>
        <v>15707</v>
      </c>
      <c r="I32" s="2">
        <f t="shared" si="4"/>
        <v>201.37179487179486</v>
      </c>
      <c r="J32" s="1">
        <v>572</v>
      </c>
      <c r="K32" s="1">
        <v>572</v>
      </c>
      <c r="L32" s="1">
        <v>194</v>
      </c>
      <c r="M32" s="1">
        <v>194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3"/>
        <v>200.71929824561403</v>
      </c>
      <c r="E33" s="3">
        <f>SUM(200-D33)*0.8</f>
        <v>-0.57543859649122175</v>
      </c>
      <c r="F33" s="1">
        <f>54+3</f>
        <v>57</v>
      </c>
      <c r="G33" s="1">
        <f>10829+612</f>
        <v>11441</v>
      </c>
      <c r="H33" s="3">
        <f>10984+612</f>
        <v>11596</v>
      </c>
      <c r="I33" s="2">
        <f t="shared" si="4"/>
        <v>203.43859649122808</v>
      </c>
      <c r="J33" s="1">
        <v>612</v>
      </c>
      <c r="K33" s="1">
        <v>612</v>
      </c>
      <c r="L33" s="1">
        <v>232</v>
      </c>
      <c r="M33" s="1">
        <v>232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3"/>
        <v>203.0185185185185</v>
      </c>
      <c r="E34" s="3">
        <f>SUM(200-D34)*0.8</f>
        <v>-2.4148148148148039</v>
      </c>
      <c r="F34" s="1">
        <f>51+3</f>
        <v>54</v>
      </c>
      <c r="G34" s="1">
        <f>10391+572</f>
        <v>10963</v>
      </c>
      <c r="H34" s="3">
        <f>10445+572</f>
        <v>11017</v>
      </c>
      <c r="I34" s="2">
        <f t="shared" si="4"/>
        <v>204.0185185185185</v>
      </c>
      <c r="J34" s="1">
        <v>572</v>
      </c>
      <c r="K34" s="1">
        <v>572</v>
      </c>
      <c r="L34" s="1">
        <v>225</v>
      </c>
      <c r="M34" s="1">
        <v>225</v>
      </c>
    </row>
    <row r="35" spans="1:13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189.98333333333332</v>
      </c>
      <c r="E37" s="10"/>
      <c r="F37" s="5">
        <f>SUM(F29:F36)</f>
        <v>300</v>
      </c>
      <c r="G37" s="5">
        <f>SUM(G29:G36)</f>
        <v>56995</v>
      </c>
      <c r="H37" s="16">
        <f>SUM(H29:H36)</f>
        <v>58612</v>
      </c>
      <c r="I37" s="8">
        <f>SUM(H37)/F37</f>
        <v>195.37333333333333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 t="shared" ref="D42:D47" si="5">SUM(G42)/F42</f>
        <v>175.21052631578948</v>
      </c>
      <c r="E42" s="3">
        <f t="shared" ref="E42:E47" si="6">SUM(200-D42)*0.8</f>
        <v>19.831578947368417</v>
      </c>
      <c r="F42" s="1">
        <f>105+3+3+3</f>
        <v>114</v>
      </c>
      <c r="G42" s="1">
        <f>18432+546+482+514</f>
        <v>19974</v>
      </c>
      <c r="H42" s="3">
        <f>20790+606+539+574</f>
        <v>22509</v>
      </c>
      <c r="I42" s="2">
        <f>SUM(H42)/F42</f>
        <v>197.44736842105263</v>
      </c>
      <c r="J42" s="1">
        <v>546</v>
      </c>
      <c r="K42" s="1">
        <v>606</v>
      </c>
      <c r="L42" s="1">
        <v>188</v>
      </c>
      <c r="M42" s="1">
        <v>214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 t="shared" si="5"/>
        <v>164.2962962962963</v>
      </c>
      <c r="E43" s="3">
        <f t="shared" si="6"/>
        <v>28.562962962962956</v>
      </c>
      <c r="F43" s="1">
        <f>72+3+3+3</f>
        <v>81</v>
      </c>
      <c r="G43" s="1">
        <f>11948+475+468+417</f>
        <v>13308</v>
      </c>
      <c r="H43" s="3">
        <f>13949+556+549+501</f>
        <v>15555</v>
      </c>
      <c r="I43" s="2">
        <f>SUM(H43)/F43</f>
        <v>192.03703703703704</v>
      </c>
      <c r="J43" s="1">
        <v>475</v>
      </c>
      <c r="K43" s="1">
        <v>556</v>
      </c>
      <c r="L43" s="1">
        <v>197</v>
      </c>
      <c r="M43" s="1">
        <v>224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 t="shared" si="5"/>
        <v>168.73118279569891</v>
      </c>
      <c r="E44" s="3">
        <f t="shared" si="6"/>
        <v>25.015053763440871</v>
      </c>
      <c r="F44" s="1">
        <f>87+3+3</f>
        <v>93</v>
      </c>
      <c r="G44" s="1">
        <f>14675+484+533</f>
        <v>15692</v>
      </c>
      <c r="H44" s="3">
        <f>17348+559+611</f>
        <v>18518</v>
      </c>
      <c r="I44" s="2">
        <f>SUM(H44)/F44</f>
        <v>199.11827956989248</v>
      </c>
      <c r="J44" s="1">
        <v>533</v>
      </c>
      <c r="K44" s="1">
        <v>611</v>
      </c>
      <c r="L44" s="1">
        <v>202</v>
      </c>
      <c r="M44" s="1">
        <v>228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 t="shared" si="5"/>
        <v>175.58585858585857</v>
      </c>
      <c r="E45" s="3">
        <f>SUM(200-D45)*0.8</f>
        <v>19.531313131313141</v>
      </c>
      <c r="F45" s="1">
        <f>93+3+3</f>
        <v>99</v>
      </c>
      <c r="G45" s="1">
        <f>16413+452+518</f>
        <v>17383</v>
      </c>
      <c r="H45" s="3">
        <f>18081+509+575</f>
        <v>19165</v>
      </c>
      <c r="I45" s="2">
        <f>SUM(H45)/F45</f>
        <v>193.58585858585857</v>
      </c>
      <c r="J45" s="1">
        <v>518</v>
      </c>
      <c r="K45" s="1">
        <v>575</v>
      </c>
      <c r="L45" s="1">
        <v>183</v>
      </c>
      <c r="M45" s="1">
        <v>202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 t="shared" si="5"/>
        <v>150.65151515151516</v>
      </c>
      <c r="E46" s="3">
        <f t="shared" si="6"/>
        <v>39.478787878787877</v>
      </c>
      <c r="F46" s="1">
        <f>63+3</f>
        <v>66</v>
      </c>
      <c r="G46" s="1">
        <f>9503+440</f>
        <v>9943</v>
      </c>
      <c r="H46" s="1">
        <f>12113+563</f>
        <v>12676</v>
      </c>
      <c r="I46" s="2">
        <f t="shared" ref="I46:I51" si="7">SUM(H46)/F46</f>
        <v>192.06060606060606</v>
      </c>
      <c r="J46" s="1">
        <v>440</v>
      </c>
      <c r="K46" s="1">
        <v>563</v>
      </c>
      <c r="L46" s="1">
        <v>148</v>
      </c>
      <c r="M46" s="1">
        <v>189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5"/>
        <v>116</v>
      </c>
      <c r="E47" s="3">
        <f t="shared" si="6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>
        <f>SUM(G50)/F50</f>
        <v>147.6</v>
      </c>
      <c r="F50" s="1">
        <f>45</f>
        <v>45</v>
      </c>
      <c r="G50" s="1">
        <f>6642</f>
        <v>6642</v>
      </c>
      <c r="H50" s="3">
        <f>8161</f>
        <v>8161</v>
      </c>
      <c r="I50" s="2">
        <f t="shared" si="7"/>
        <v>181.35555555555555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166.24750499001996</v>
      </c>
      <c r="E51" s="10"/>
      <c r="F51" s="5">
        <f>SUM(F42:F50)</f>
        <v>501</v>
      </c>
      <c r="G51" s="5">
        <f>SUM(G41:G50)</f>
        <v>83290</v>
      </c>
      <c r="H51" s="16">
        <f>SUM(H41:H50)</f>
        <v>97124</v>
      </c>
      <c r="I51" s="8">
        <f t="shared" si="7"/>
        <v>193.86027944111777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156.17777777777778</v>
      </c>
      <c r="E59" s="3">
        <f>SUM(200-D59)*0.8</f>
        <v>35.05777777777778</v>
      </c>
      <c r="F59" s="1">
        <f>36+3+3+3</f>
        <v>45</v>
      </c>
      <c r="G59" s="1">
        <f>5633+441+473+481</f>
        <v>7028</v>
      </c>
      <c r="H59" s="3">
        <f>6904+546+578+586</f>
        <v>8614</v>
      </c>
      <c r="I59" s="2">
        <f>SUM(H59)/F59</f>
        <v>191.42222222222222</v>
      </c>
      <c r="J59" s="1">
        <v>481</v>
      </c>
      <c r="K59" s="1">
        <v>586</v>
      </c>
      <c r="L59" s="1">
        <v>196</v>
      </c>
      <c r="M59" s="1">
        <v>231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109.66666666666667</v>
      </c>
      <c r="E61" s="3">
        <v>64</v>
      </c>
      <c r="F61" s="1">
        <f>3+3+3</f>
        <v>9</v>
      </c>
      <c r="G61" s="1">
        <f>319+353+315</f>
        <v>987</v>
      </c>
      <c r="H61" s="3">
        <f>511+542+507</f>
        <v>1560</v>
      </c>
      <c r="I61" s="2">
        <f>SUM(H61)/F61</f>
        <v>173.33333333333334</v>
      </c>
      <c r="J61" s="1">
        <v>353</v>
      </c>
      <c r="K61" s="1">
        <v>542</v>
      </c>
      <c r="L61" s="1">
        <v>130</v>
      </c>
      <c r="M61" s="1">
        <v>194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119.66666666666667</v>
      </c>
      <c r="E62" s="3">
        <f>SUM(200-D62)*0.8</f>
        <v>64.266666666666666</v>
      </c>
      <c r="F62" s="1">
        <f>3+3</f>
        <v>6</v>
      </c>
      <c r="G62" s="1">
        <f>354+364</f>
        <v>718</v>
      </c>
      <c r="H62" s="3">
        <f>546+556</f>
        <v>1102</v>
      </c>
      <c r="I62" s="2">
        <f>SUM(H62)/F62</f>
        <v>183.66666666666666</v>
      </c>
      <c r="J62" s="1">
        <v>364</v>
      </c>
      <c r="K62" s="1">
        <v>556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138.40740740740742</v>
      </c>
      <c r="E63" s="3">
        <f>SUM(200-D63)*0.8</f>
        <v>49.274074074074065</v>
      </c>
      <c r="F63" s="1">
        <f>21+3+3</f>
        <v>27</v>
      </c>
      <c r="G63" s="1">
        <f>3033+362+342</f>
        <v>3737</v>
      </c>
      <c r="H63" s="3">
        <f>3951+497+483</f>
        <v>4931</v>
      </c>
      <c r="I63" s="2">
        <f>SUM(H63)/F63</f>
        <v>182.62962962962962</v>
      </c>
      <c r="J63" s="1">
        <v>362</v>
      </c>
      <c r="K63" s="1">
        <v>497</v>
      </c>
      <c r="L63" s="1">
        <v>124</v>
      </c>
      <c r="M63" s="1">
        <v>169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F66" s="1">
        <f>3</f>
        <v>3</v>
      </c>
      <c r="G66" s="1">
        <f>330</f>
        <v>330</v>
      </c>
      <c r="H66" s="3">
        <f>522</f>
        <v>522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172.12922465208749</v>
      </c>
      <c r="E68" s="10"/>
      <c r="F68" s="5">
        <f>SUM(F33:F66)</f>
        <v>1509</v>
      </c>
      <c r="G68" s="5">
        <f>SUM(G33:G66)</f>
        <v>259743</v>
      </c>
      <c r="H68" s="10">
        <f>SUM(H33:H66)</f>
        <v>293337</v>
      </c>
      <c r="I68" s="8">
        <f>SUM(H68)/F68</f>
        <v>194.39165009940359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151.86021505376345</v>
      </c>
      <c r="E72" s="3">
        <f>SUM(200-D72)*0.8</f>
        <v>38.511827956989237</v>
      </c>
      <c r="F72" s="1">
        <f>84+3+3+3</f>
        <v>93</v>
      </c>
      <c r="G72" s="1">
        <f>12950+367+435+371</f>
        <v>14123</v>
      </c>
      <c r="H72" s="3">
        <f>16031+478+549+485</f>
        <v>17543</v>
      </c>
      <c r="I72" s="2">
        <f>SUM(H72)/F72</f>
        <v>188.63440860215053</v>
      </c>
      <c r="J72" s="1">
        <v>435</v>
      </c>
      <c r="K72" s="1">
        <v>549</v>
      </c>
      <c r="L72" s="1">
        <v>171</v>
      </c>
      <c r="M72" s="1">
        <v>209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160.91228070175438</v>
      </c>
      <c r="E73" s="3">
        <f>SUM(200-D73)*0.8</f>
        <v>31.270175438596496</v>
      </c>
      <c r="F73" s="1">
        <f>48+3+3+3</f>
        <v>57</v>
      </c>
      <c r="G73" s="1">
        <f>7831+411+467+463</f>
        <v>9172</v>
      </c>
      <c r="H73" s="3">
        <f>9247+498+557+556</f>
        <v>10858</v>
      </c>
      <c r="I73" s="2">
        <f>SUM(H73)/F73</f>
        <v>190.49122807017545</v>
      </c>
      <c r="J73" s="1">
        <v>467</v>
      </c>
      <c r="K73" s="1">
        <v>557</v>
      </c>
      <c r="L73" s="1">
        <v>183</v>
      </c>
      <c r="M73" s="1">
        <v>213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155.01666666666668</v>
      </c>
      <c r="E74" s="3">
        <f>SUM(200-D74)*0.8</f>
        <v>35.986666666666657</v>
      </c>
      <c r="F74" s="1">
        <f>57+3</f>
        <v>60</v>
      </c>
      <c r="G74" s="1">
        <f>8913+388</f>
        <v>9301</v>
      </c>
      <c r="H74" s="3">
        <f>11013+493</f>
        <v>11506</v>
      </c>
      <c r="I74" s="2">
        <f>SUM(H74)/F74</f>
        <v>191.76666666666668</v>
      </c>
      <c r="J74" s="1">
        <v>388</v>
      </c>
      <c r="K74" s="1">
        <v>493</v>
      </c>
      <c r="L74" s="1">
        <v>137</v>
      </c>
      <c r="M74" s="1">
        <v>172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161</v>
      </c>
      <c r="E75" s="3">
        <f>SUM(200-D75)*0.8</f>
        <v>31.200000000000003</v>
      </c>
      <c r="F75" s="1">
        <f>57+3+3</f>
        <v>63</v>
      </c>
      <c r="G75" s="1">
        <f>9225+473+445</f>
        <v>10143</v>
      </c>
      <c r="H75" s="3">
        <f>11268+566+535</f>
        <v>12369</v>
      </c>
      <c r="I75" s="2">
        <f>SUM(H75)/F75</f>
        <v>196.33333333333334</v>
      </c>
      <c r="J75" s="1">
        <v>473</v>
      </c>
      <c r="K75" s="1">
        <v>566</v>
      </c>
      <c r="L75" s="1">
        <v>179</v>
      </c>
      <c r="M75" s="1">
        <v>209</v>
      </c>
    </row>
    <row r="76" spans="1:18" x14ac:dyDescent="0.35">
      <c r="A76" s="4" t="s">
        <v>13</v>
      </c>
      <c r="B76" s="4">
        <v>5</v>
      </c>
      <c r="C76" s="4" t="s">
        <v>222</v>
      </c>
      <c r="D76" s="2">
        <f>SUM(G76)/F76</f>
        <v>161.33333333333334</v>
      </c>
      <c r="E76" s="148">
        <f>SUM(200-D76)*0.8</f>
        <v>30.933333333333326</v>
      </c>
      <c r="F76" s="1">
        <f>3+3</f>
        <v>6</v>
      </c>
      <c r="G76" s="1">
        <f>454+514</f>
        <v>968</v>
      </c>
      <c r="H76" s="1">
        <f>571+631</f>
        <v>1202</v>
      </c>
      <c r="I76" s="147">
        <f>SUM(H76)/F76</f>
        <v>200.33333333333334</v>
      </c>
      <c r="J76" s="1">
        <v>514</v>
      </c>
      <c r="K76" s="1">
        <v>631</v>
      </c>
      <c r="L76" s="1">
        <v>182</v>
      </c>
      <c r="M76" s="1">
        <v>221</v>
      </c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1" t="s">
        <v>13</v>
      </c>
      <c r="B78" s="1">
        <v>7</v>
      </c>
      <c r="C78" s="4" t="s">
        <v>50</v>
      </c>
      <c r="D78" s="2">
        <f>SUM(G78)/F78</f>
        <v>126.04761904761905</v>
      </c>
      <c r="E78" s="3">
        <f>SUM(200-D78)*0.8</f>
        <v>59.161904761904765</v>
      </c>
      <c r="F78" s="1">
        <f>21</f>
        <v>21</v>
      </c>
      <c r="G78" s="1">
        <f>2647</f>
        <v>2647</v>
      </c>
      <c r="H78" s="3">
        <f>3808</f>
        <v>3808</v>
      </c>
      <c r="I78" s="2">
        <f>SUM(H78)/F78</f>
        <v>181.33333333333334</v>
      </c>
      <c r="J78" s="1">
        <v>424</v>
      </c>
      <c r="K78" s="1">
        <v>607</v>
      </c>
      <c r="L78" s="1">
        <v>163</v>
      </c>
      <c r="M78" s="1">
        <v>224</v>
      </c>
      <c r="O78" s="4">
        <f>SUM(200-D60)*0.8</f>
        <v>56.535999999999994</v>
      </c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152.625</v>
      </c>
      <c r="F80" s="1">
        <f>69+3</f>
        <v>72</v>
      </c>
      <c r="G80" s="1">
        <f>10533+456</f>
        <v>10989</v>
      </c>
      <c r="H80" s="3">
        <f>12630+546</f>
        <v>13176</v>
      </c>
      <c r="I80" s="2">
        <f>SUM(H80)/F80</f>
        <v>183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154.1478494623656</v>
      </c>
      <c r="E81" s="10"/>
      <c r="F81" s="5">
        <f>SUM(F72:F80)</f>
        <v>372</v>
      </c>
      <c r="G81" s="5">
        <f>SUM(G72:G80)</f>
        <v>57343</v>
      </c>
      <c r="H81" s="10">
        <f>SUM(H72:H80)</f>
        <v>70462</v>
      </c>
      <c r="I81" s="8">
        <f>SUM(H81)/F81</f>
        <v>189.41397849462365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8">SUM(G85)/F85</f>
        <v>168.88888888888889</v>
      </c>
      <c r="E85" s="3">
        <f t="shared" ref="E85:E90" si="9">SUM(200-D85)*0.8</f>
        <v>24.888888888888893</v>
      </c>
      <c r="F85" s="1">
        <f>45+3+3+3</f>
        <v>54</v>
      </c>
      <c r="G85" s="1">
        <f>7614+528+498+480</f>
        <v>9120</v>
      </c>
      <c r="H85" s="3">
        <f>8745+603+570+555</f>
        <v>10473</v>
      </c>
      <c r="I85" s="2">
        <f t="shared" ref="I85:I90" si="10">SUM(H85)/F85</f>
        <v>193.94444444444446</v>
      </c>
      <c r="J85" s="1">
        <v>528</v>
      </c>
      <c r="K85" s="1">
        <v>603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8"/>
        <v>149.46153846153845</v>
      </c>
      <c r="E86" s="3">
        <f t="shared" si="9"/>
        <v>40.430769230769243</v>
      </c>
      <c r="F86" s="1">
        <f>75+3</f>
        <v>78</v>
      </c>
      <c r="G86" s="1">
        <f>11273+385</f>
        <v>11658</v>
      </c>
      <c r="H86" s="3">
        <f>14292+505</f>
        <v>14797</v>
      </c>
      <c r="I86" s="2">
        <f t="shared" si="10"/>
        <v>189.7051282051282</v>
      </c>
      <c r="J86" s="1">
        <v>385</v>
      </c>
      <c r="K86" s="1">
        <v>505</v>
      </c>
      <c r="L86" s="1">
        <v>134</v>
      </c>
      <c r="M86" s="1">
        <v>174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8"/>
        <v>164.46315789473684</v>
      </c>
      <c r="E87" s="3">
        <f t="shared" si="9"/>
        <v>28.429473684210532</v>
      </c>
      <c r="F87" s="1">
        <f>92+3</f>
        <v>95</v>
      </c>
      <c r="G87" s="1">
        <f>15135+489</f>
        <v>15624</v>
      </c>
      <c r="H87" s="3">
        <f>17788+573</f>
        <v>18361</v>
      </c>
      <c r="I87" s="2">
        <f t="shared" si="10"/>
        <v>193.27368421052631</v>
      </c>
      <c r="J87" s="1">
        <v>489</v>
      </c>
      <c r="K87" s="1">
        <v>573</v>
      </c>
      <c r="L87" s="1">
        <v>175</v>
      </c>
      <c r="M87" s="1">
        <v>203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170.47619047619048</v>
      </c>
      <c r="E88" s="3">
        <f>SUM(200-D88)*0.8</f>
        <v>23.619047619047617</v>
      </c>
      <c r="F88" s="1">
        <f>15+3+3</f>
        <v>21</v>
      </c>
      <c r="G88" s="1">
        <f>2527+488+565</f>
        <v>3580</v>
      </c>
      <c r="H88" s="3">
        <f>2887+563+643</f>
        <v>4093</v>
      </c>
      <c r="I88" s="2">
        <f t="shared" si="10"/>
        <v>194.9047619047619</v>
      </c>
      <c r="J88" s="1">
        <v>565</v>
      </c>
      <c r="K88" s="1">
        <v>643</v>
      </c>
      <c r="L88" s="1">
        <v>211</v>
      </c>
      <c r="M88" s="1">
        <v>237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8"/>
        <v>165.7280701754386</v>
      </c>
      <c r="E89" s="3">
        <f t="shared" si="9"/>
        <v>27.417543859649118</v>
      </c>
      <c r="F89" s="1">
        <f>108+3+3</f>
        <v>114</v>
      </c>
      <c r="G89" s="1">
        <f>17924+520+449</f>
        <v>18893</v>
      </c>
      <c r="H89" s="3">
        <f>20714+601+530</f>
        <v>21845</v>
      </c>
      <c r="I89" s="2">
        <f t="shared" si="10"/>
        <v>191.62280701754386</v>
      </c>
      <c r="J89" s="1">
        <v>520</v>
      </c>
      <c r="K89" s="1">
        <v>601</v>
      </c>
      <c r="L89" s="1">
        <v>183</v>
      </c>
      <c r="M89" s="1">
        <v>210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8"/>
        <v>161.59459459459458</v>
      </c>
      <c r="E90" s="3">
        <f t="shared" si="9"/>
        <v>30.724324324324336</v>
      </c>
      <c r="F90" s="1">
        <f>102+3+3+3</f>
        <v>111</v>
      </c>
      <c r="G90" s="1">
        <f>16645+474+421+397</f>
        <v>17937</v>
      </c>
      <c r="H90" s="3">
        <f>19745+561+511+487</f>
        <v>21304</v>
      </c>
      <c r="I90" s="2">
        <f t="shared" si="10"/>
        <v>191.92792792792793</v>
      </c>
      <c r="J90" s="1">
        <v>474</v>
      </c>
      <c r="K90" s="1">
        <v>561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8"/>
        <v>157.42857142857142</v>
      </c>
      <c r="F91" s="1">
        <f>7</f>
        <v>7</v>
      </c>
      <c r="G91" s="1">
        <f>1102</f>
        <v>1102</v>
      </c>
      <c r="H91" s="3">
        <f>1287</f>
        <v>1287</v>
      </c>
      <c r="I91" s="2" t="s">
        <v>224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162.32083333333333</v>
      </c>
      <c r="E93" s="10"/>
      <c r="F93" s="5">
        <f>SUM(F85:F91)</f>
        <v>480</v>
      </c>
      <c r="G93" s="5">
        <f>SUM(G85:G91)</f>
        <v>77914</v>
      </c>
      <c r="H93" s="10">
        <f>SUM(H85:H92)</f>
        <v>92160</v>
      </c>
      <c r="I93" s="8">
        <f>SUM(H93)/F93</f>
        <v>192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11">SUM(G96)/F96</f>
        <v>166.0595238095238</v>
      </c>
      <c r="E96" s="3">
        <f t="shared" ref="E96:E102" si="12">SUM(200-D96)*0.8</f>
        <v>27.152380952380966</v>
      </c>
      <c r="F96" s="1">
        <f>78+3+3</f>
        <v>84</v>
      </c>
      <c r="G96" s="1">
        <f>12867+638+444</f>
        <v>13949</v>
      </c>
      <c r="H96" s="3">
        <f>14961+722+522</f>
        <v>16205</v>
      </c>
      <c r="I96" s="2">
        <f>SUM(H96)/F96</f>
        <v>192.91666666666666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11"/>
        <v>161.50793650793651</v>
      </c>
      <c r="E97" s="3">
        <f t="shared" si="12"/>
        <v>30.793650793650798</v>
      </c>
      <c r="F97" s="1">
        <f>57+3+3</f>
        <v>63</v>
      </c>
      <c r="G97" s="1">
        <f>9344+411+420</f>
        <v>10175</v>
      </c>
      <c r="H97" s="3">
        <f>11063+498+510</f>
        <v>12071</v>
      </c>
      <c r="I97" s="2">
        <f>SUM(H97)/F97</f>
        <v>191.60317460317461</v>
      </c>
      <c r="J97" s="1">
        <v>420</v>
      </c>
      <c r="K97" s="1">
        <v>510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11"/>
        <v>173.78787878787878</v>
      </c>
      <c r="E98" s="3">
        <f t="shared" si="12"/>
        <v>20.969696969696976</v>
      </c>
      <c r="F98" s="1">
        <f>93+3+3</f>
        <v>99</v>
      </c>
      <c r="G98" s="1">
        <f>16353+425+427</f>
        <v>17205</v>
      </c>
      <c r="H98" s="3">
        <f>18132+482+487</f>
        <v>19101</v>
      </c>
      <c r="I98" s="2">
        <v>188.66</v>
      </c>
      <c r="J98" s="1">
        <v>425</v>
      </c>
      <c r="K98" s="1">
        <v>482</v>
      </c>
      <c r="L98" s="1">
        <v>171</v>
      </c>
      <c r="M98" s="1">
        <v>190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11"/>
        <v>165.94897959183675</v>
      </c>
      <c r="E99" s="3">
        <f t="shared" si="12"/>
        <v>27.240816326530606</v>
      </c>
      <c r="F99" s="1">
        <f>95+3</f>
        <v>98</v>
      </c>
      <c r="G99" s="1">
        <f>15808+455</f>
        <v>16263</v>
      </c>
      <c r="H99" s="3">
        <f>18146+536</f>
        <v>18682</v>
      </c>
      <c r="I99" s="2">
        <v>193.33</v>
      </c>
      <c r="J99" s="1">
        <v>455</v>
      </c>
      <c r="K99" s="1">
        <v>536</v>
      </c>
      <c r="L99" s="1">
        <v>163</v>
      </c>
      <c r="M99" s="1">
        <v>190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11"/>
        <v>178.93827160493828</v>
      </c>
      <c r="E100" s="3">
        <f t="shared" si="12"/>
        <v>16.849382716049377</v>
      </c>
      <c r="F100" s="1">
        <f>75+3+3</f>
        <v>81</v>
      </c>
      <c r="G100" s="1">
        <f>13400+573+521</f>
        <v>14494</v>
      </c>
      <c r="H100" s="3">
        <f>14615+624+572</f>
        <v>15811</v>
      </c>
      <c r="I100" s="2">
        <f>SUM(H100)/F100</f>
        <v>195.19753086419752</v>
      </c>
      <c r="J100" s="1">
        <v>573</v>
      </c>
      <c r="K100" s="1">
        <v>624</v>
      </c>
      <c r="L100" s="1">
        <v>235</v>
      </c>
      <c r="M100" s="1">
        <v>252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11"/>
        <v>171.16161616161617</v>
      </c>
      <c r="E101" s="3">
        <f t="shared" si="12"/>
        <v>23.070707070707069</v>
      </c>
      <c r="F101" s="1">
        <f>96+3</f>
        <v>99</v>
      </c>
      <c r="G101" s="1">
        <f>16556+389</f>
        <v>16945</v>
      </c>
      <c r="H101" s="3">
        <f>18690+455</f>
        <v>19145</v>
      </c>
      <c r="I101" s="2">
        <f>SUM(H101)/F101</f>
        <v>193.38383838383839</v>
      </c>
      <c r="J101" s="1">
        <v>389</v>
      </c>
      <c r="K101" s="1">
        <v>455</v>
      </c>
      <c r="L101" s="1">
        <v>145</v>
      </c>
      <c r="M101" s="1">
        <v>167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11"/>
        <v>159.24731182795699</v>
      </c>
      <c r="E102" s="3">
        <f t="shared" si="12"/>
        <v>32.602150537634408</v>
      </c>
      <c r="F102" s="1">
        <f>87+3+3</f>
        <v>93</v>
      </c>
      <c r="G102" s="1">
        <f>13886+465+459</f>
        <v>14810</v>
      </c>
      <c r="H102" s="3">
        <f>17228+561+558</f>
        <v>18347</v>
      </c>
      <c r="I102" s="2">
        <f>SUM(H102)/F102</f>
        <v>197.27956989247312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147.80000000000001</v>
      </c>
      <c r="F104" s="1">
        <f>10</f>
        <v>10</v>
      </c>
      <c r="G104" s="1">
        <f>1478</f>
        <v>1478</v>
      </c>
      <c r="H104" s="3">
        <f>1732</f>
        <v>1732</v>
      </c>
      <c r="I104" s="2">
        <f>SUM(H104)/F104</f>
        <v>173.2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4"/>
      <c r="D107" s="4"/>
      <c r="E107" s="5" t="s">
        <v>71</v>
      </c>
      <c r="F107" s="8">
        <f>SUM(G93)/F93</f>
        <v>162.32083333333333</v>
      </c>
      <c r="G107" s="10"/>
      <c r="H107" s="5">
        <f>SUM(F96:F103)</f>
        <v>617</v>
      </c>
      <c r="I107" s="5">
        <f>SUM(G96:G103)</f>
        <v>103841</v>
      </c>
      <c r="J107" s="10">
        <f>SUM(H96:H103)</f>
        <v>119362</v>
      </c>
      <c r="K107" s="2">
        <f>SUM(J107)/H107</f>
        <v>193.45542949756887</v>
      </c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>SUM(G112)/F112</f>
        <v>178.55555555555554</v>
      </c>
      <c r="E112" s="3">
        <f>SUM(200-D112)*0.8</f>
        <v>17.155555555555566</v>
      </c>
      <c r="F112" s="1">
        <f>81+3+3+3</f>
        <v>90</v>
      </c>
      <c r="G112" s="1">
        <f>14420+525+611+514</f>
        <v>16070</v>
      </c>
      <c r="H112" s="3">
        <f>16128+579+665+565</f>
        <v>17937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>SUM(G113)/F113</f>
        <v>166.1010101010101</v>
      </c>
      <c r="E113" s="3">
        <f>SUM(200-D113)*0.8</f>
        <v>27.11919191919192</v>
      </c>
      <c r="F113" s="1">
        <f>90+3+3+3</f>
        <v>99</v>
      </c>
      <c r="G113" s="1">
        <f>15027+498+447+472</f>
        <v>16444</v>
      </c>
      <c r="H113" s="3">
        <f>17521+602+525+553</f>
        <v>19201</v>
      </c>
      <c r="I113" s="2">
        <f>SUM(H113)/F113</f>
        <v>193.94949494949495</v>
      </c>
      <c r="J113" s="1">
        <v>498</v>
      </c>
      <c r="K113" s="1">
        <v>602</v>
      </c>
      <c r="L113" s="1">
        <v>205</v>
      </c>
      <c r="M113" s="1">
        <v>231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>SUM(G114)/F114</f>
        <v>165.13978494623655</v>
      </c>
      <c r="E114" s="3">
        <f>SUM(200-D114)*0.8</f>
        <v>27.888172043010766</v>
      </c>
      <c r="F114" s="1">
        <f>84+3+3+3</f>
        <v>93</v>
      </c>
      <c r="G114" s="1">
        <f>13807+485+530+536</f>
        <v>15358</v>
      </c>
      <c r="H114" s="3">
        <f>16372+572+617+620</f>
        <v>18181</v>
      </c>
      <c r="I114" s="2">
        <f>SUM(H114)/F114</f>
        <v>195.49462365591398</v>
      </c>
      <c r="J114" s="1">
        <v>536</v>
      </c>
      <c r="K114" s="1">
        <v>620</v>
      </c>
      <c r="L114" s="1">
        <v>214</v>
      </c>
      <c r="M114" s="1">
        <v>242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>SUM(G115)/F115</f>
        <v>189.50617283950618</v>
      </c>
      <c r="E115" s="3">
        <f>SUM(200-D115)*0.8</f>
        <v>8.3950617283950582</v>
      </c>
      <c r="F115" s="1">
        <f>75+3+3</f>
        <v>81</v>
      </c>
      <c r="G115" s="1">
        <f>14235+499+616</f>
        <v>15350</v>
      </c>
      <c r="H115" s="3">
        <f>14925+523+643</f>
        <v>16091</v>
      </c>
      <c r="I115" s="2">
        <f>SUM(H115)/F115</f>
        <v>198.65432098765433</v>
      </c>
      <c r="J115" s="1">
        <v>616</v>
      </c>
      <c r="K115" s="1">
        <v>643</v>
      </c>
      <c r="L115" s="1">
        <v>219</v>
      </c>
      <c r="M115" s="1">
        <v>228</v>
      </c>
    </row>
    <row r="116" spans="1:17" x14ac:dyDescent="0.35">
      <c r="A116" s="1" t="s">
        <v>15</v>
      </c>
      <c r="B116" s="1">
        <v>8</v>
      </c>
      <c r="C116" s="1" t="s">
        <v>142</v>
      </c>
      <c r="D116" s="2">
        <f>SUM(G116)/F116</f>
        <v>160.74074074074073</v>
      </c>
      <c r="E116" s="3">
        <f>SUM(200-D116)*0.8</f>
        <v>31.407407407407415</v>
      </c>
      <c r="F116" s="1">
        <f>24+3</f>
        <v>27</v>
      </c>
      <c r="G116" s="1">
        <f>3922+418</f>
        <v>4340</v>
      </c>
      <c r="H116" s="3">
        <f>4479+505</f>
        <v>4984</v>
      </c>
      <c r="I116" s="2">
        <f>SUM(H116)/F116</f>
        <v>184.59259259259258</v>
      </c>
      <c r="J116" s="1">
        <v>418</v>
      </c>
      <c r="K116" s="1">
        <v>505</v>
      </c>
      <c r="L116" s="1">
        <v>149</v>
      </c>
      <c r="M116" s="1">
        <v>178</v>
      </c>
    </row>
    <row r="117" spans="1:17" x14ac:dyDescent="0.35">
      <c r="C117" s="4"/>
      <c r="D117" s="4"/>
      <c r="E117" s="4"/>
      <c r="F117" s="4"/>
      <c r="G117" s="4"/>
      <c r="H117" s="4"/>
      <c r="I117" s="4"/>
    </row>
    <row r="119" spans="1:17" x14ac:dyDescent="0.35">
      <c r="A119" s="4"/>
      <c r="B119" s="4"/>
      <c r="C119" s="1" t="s">
        <v>57</v>
      </c>
      <c r="D119" s="2">
        <f>SUM(G119)/F119</f>
        <v>159</v>
      </c>
      <c r="F119" s="1">
        <f>6</f>
        <v>6</v>
      </c>
      <c r="G119" s="1">
        <f>954</f>
        <v>954</v>
      </c>
      <c r="H119" s="3">
        <f>1104</f>
        <v>1104</v>
      </c>
      <c r="I119" s="2">
        <f>SUM(H119)/F119</f>
        <v>184</v>
      </c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130" t="s">
        <v>71</v>
      </c>
      <c r="D120" s="131">
        <f ca="1">SUM(G120)/F120</f>
        <v>0.86714658320292126</v>
      </c>
      <c r="E120" s="132"/>
      <c r="F120" s="130">
        <f>SUM(F112:F119)</f>
        <v>396</v>
      </c>
      <c r="G120" s="130">
        <f ca="1">SUM(G112:G133)</f>
        <v>83116</v>
      </c>
      <c r="H120" s="132">
        <f ca="1">SUM(H112:H133)</f>
        <v>94404</v>
      </c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3" x14ac:dyDescent="0.35">
      <c r="A129" s="1" t="s">
        <v>15</v>
      </c>
      <c r="B129" s="1">
        <v>3</v>
      </c>
      <c r="C129" s="11" t="s">
        <v>17</v>
      </c>
      <c r="D129" s="2">
        <f t="shared" ref="D129:D134" si="13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3" x14ac:dyDescent="0.35">
      <c r="A130" s="1" t="s">
        <v>15</v>
      </c>
      <c r="B130" s="1">
        <v>7</v>
      </c>
      <c r="C130" s="11" t="s">
        <v>137</v>
      </c>
      <c r="D130" s="2">
        <f t="shared" si="13"/>
        <v>166</v>
      </c>
      <c r="E130" s="3">
        <f t="shared" ref="E130:E142" si="14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5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3" x14ac:dyDescent="0.35">
      <c r="A131" s="1" t="s">
        <v>15</v>
      </c>
      <c r="B131" s="1">
        <v>8</v>
      </c>
      <c r="C131" s="11" t="s">
        <v>138</v>
      </c>
      <c r="D131" s="2">
        <f t="shared" si="13"/>
        <v>161.66666666666666</v>
      </c>
      <c r="E131" s="3">
        <f t="shared" si="14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5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3" x14ac:dyDescent="0.35">
      <c r="A132" s="1" t="s">
        <v>15</v>
      </c>
      <c r="B132" s="1">
        <v>4</v>
      </c>
      <c r="C132" s="1" t="s">
        <v>75</v>
      </c>
      <c r="D132" s="2">
        <f t="shared" si="13"/>
        <v>171.85333333333332</v>
      </c>
      <c r="E132" s="3">
        <f t="shared" si="14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5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3" x14ac:dyDescent="0.35">
      <c r="A133" s="1" t="s">
        <v>15</v>
      </c>
      <c r="B133" s="1">
        <v>5</v>
      </c>
      <c r="C133" s="1" t="s">
        <v>133</v>
      </c>
      <c r="D133" s="2">
        <f t="shared" si="13"/>
        <v>172.43333333333334</v>
      </c>
      <c r="E133" s="3">
        <f t="shared" si="14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5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4" spans="1:13" x14ac:dyDescent="0.35">
      <c r="A134" s="1" t="s">
        <v>13</v>
      </c>
      <c r="B134" s="1">
        <v>6</v>
      </c>
      <c r="C134" s="1" t="s">
        <v>140</v>
      </c>
      <c r="D134" s="2">
        <f t="shared" si="13"/>
        <v>163.36666666666667</v>
      </c>
      <c r="E134" s="3">
        <f t="shared" si="14"/>
        <v>29.306666666666661</v>
      </c>
      <c r="F134" s="1">
        <f>3+3+3+3+3+3+3+3+3+3</f>
        <v>30</v>
      </c>
      <c r="G134" s="1">
        <f>479+552+453+456+467+468+497+486+470+573</f>
        <v>4901</v>
      </c>
      <c r="H134" s="3">
        <f>575+648+519+540+557+564+593+579+563+669</f>
        <v>5807</v>
      </c>
      <c r="I134" s="2">
        <f t="shared" si="15"/>
        <v>193.56666666666666</v>
      </c>
      <c r="J134" s="1">
        <v>573</v>
      </c>
      <c r="K134" s="1">
        <v>669</v>
      </c>
      <c r="L134" s="1">
        <v>212</v>
      </c>
      <c r="M134" s="1">
        <v>244</v>
      </c>
    </row>
    <row r="135" spans="1:13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4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5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3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5">
      <c r="A137" s="1" t="s">
        <v>15</v>
      </c>
      <c r="B137" s="1">
        <v>5</v>
      </c>
      <c r="C137" s="4" t="s">
        <v>34</v>
      </c>
      <c r="D137" s="2">
        <f t="shared" ref="D137:D142" si="16">SUM(G137)/F137</f>
        <v>137</v>
      </c>
      <c r="E137" s="3">
        <f t="shared" si="14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5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3" x14ac:dyDescent="0.35">
      <c r="A138" s="1" t="s">
        <v>13</v>
      </c>
      <c r="B138" s="1">
        <v>6</v>
      </c>
      <c r="C138" s="4" t="s">
        <v>49</v>
      </c>
      <c r="D138" s="2">
        <f t="shared" si="16"/>
        <v>147.4</v>
      </c>
      <c r="E138" s="3">
        <f t="shared" si="14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5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3" x14ac:dyDescent="0.35">
      <c r="A139" s="1" t="s">
        <v>13</v>
      </c>
      <c r="B139" s="1">
        <v>3</v>
      </c>
      <c r="C139" s="4" t="s">
        <v>37</v>
      </c>
      <c r="D139" s="2">
        <f t="shared" si="16"/>
        <v>167.64285714285714</v>
      </c>
      <c r="E139" s="3">
        <f t="shared" si="14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5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3" x14ac:dyDescent="0.35">
      <c r="A140" s="1" t="s">
        <v>15</v>
      </c>
      <c r="B140" s="1">
        <v>5</v>
      </c>
      <c r="C140" s="4" t="s">
        <v>39</v>
      </c>
      <c r="D140" s="2">
        <f t="shared" si="16"/>
        <v>163.4</v>
      </c>
      <c r="E140" s="3">
        <f t="shared" si="14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5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3" x14ac:dyDescent="0.35">
      <c r="A141" s="1" t="s">
        <v>15</v>
      </c>
      <c r="B141" s="1">
        <v>6</v>
      </c>
      <c r="C141" s="1" t="s">
        <v>139</v>
      </c>
      <c r="D141" s="2">
        <f t="shared" si="16"/>
        <v>166.54166666666666</v>
      </c>
      <c r="E141" s="3">
        <f t="shared" si="14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5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3" x14ac:dyDescent="0.35">
      <c r="A142" s="1" t="s">
        <v>15</v>
      </c>
      <c r="B142" s="1">
        <v>4</v>
      </c>
      <c r="C142" s="4" t="s">
        <v>38</v>
      </c>
      <c r="D142" s="2">
        <f t="shared" si="16"/>
        <v>166.38235294117646</v>
      </c>
      <c r="E142" s="3">
        <f t="shared" si="14"/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3</v>
      </c>
      <c r="F3" s="20" t="s">
        <v>78</v>
      </c>
      <c r="G3" s="21" t="s">
        <v>79</v>
      </c>
      <c r="H3" s="22">
        <v>46281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7+10+10</f>
        <v>27</v>
      </c>
      <c r="E5" s="29">
        <f>2007+2006+2138</f>
        <v>6151</v>
      </c>
      <c r="F5" s="29">
        <f>2241+2312+2381</f>
        <v>6934</v>
      </c>
      <c r="G5" s="30">
        <f t="shared" ref="G5:G14" si="0">F5/I5</f>
        <v>192.61111111111111</v>
      </c>
      <c r="H5" s="30">
        <f t="shared" ref="H5:H14" si="1">E5/I5</f>
        <v>170.86111111111111</v>
      </c>
      <c r="I5" s="27">
        <f>SUM(E3)*12</f>
        <v>36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207</v>
      </c>
      <c r="D6" s="29">
        <f>7+7+8</f>
        <v>22</v>
      </c>
      <c r="E6" s="29">
        <f>2280+2280+2280</f>
        <v>6840</v>
      </c>
      <c r="F6" s="29">
        <f>2280+2280+2280</f>
        <v>6840</v>
      </c>
      <c r="G6" s="30">
        <f t="shared" si="0"/>
        <v>190</v>
      </c>
      <c r="H6" s="30">
        <f t="shared" si="1"/>
        <v>190</v>
      </c>
      <c r="I6" s="27">
        <f t="shared" ref="I6:I14" si="2">SUM(I5)</f>
        <v>36</v>
      </c>
    </row>
    <row r="7" spans="2:16" ht="21.75" thickBot="1" x14ac:dyDescent="0.3">
      <c r="B7" s="28">
        <v>3</v>
      </c>
      <c r="C7" s="29" t="s">
        <v>144</v>
      </c>
      <c r="D7" s="29">
        <f>8+8+4</f>
        <v>20</v>
      </c>
      <c r="E7" s="29">
        <f>1765+2252+1694</f>
        <v>5711</v>
      </c>
      <c r="F7" s="29">
        <f>2200+2306+2112</f>
        <v>6618</v>
      </c>
      <c r="G7" s="30">
        <f t="shared" si="0"/>
        <v>183.83333333333334</v>
      </c>
      <c r="H7" s="30">
        <f t="shared" si="1"/>
        <v>158.63888888888889</v>
      </c>
      <c r="I7" s="27">
        <f t="shared" si="2"/>
        <v>36</v>
      </c>
    </row>
    <row r="8" spans="2:16" ht="21.75" thickBot="1" x14ac:dyDescent="0.3">
      <c r="B8" s="28">
        <v>4</v>
      </c>
      <c r="C8" s="29" t="s">
        <v>30</v>
      </c>
      <c r="D8" s="29">
        <f>9+3+7</f>
        <v>19</v>
      </c>
      <c r="E8" s="29">
        <f>1957+1831+1889</f>
        <v>5677</v>
      </c>
      <c r="F8" s="29">
        <f>2230+2239+2213</f>
        <v>6682</v>
      </c>
      <c r="G8" s="30">
        <f t="shared" si="0"/>
        <v>185.61111111111111</v>
      </c>
      <c r="H8" s="30">
        <f t="shared" si="1"/>
        <v>157.69444444444446</v>
      </c>
      <c r="I8" s="27">
        <f t="shared" si="2"/>
        <v>36</v>
      </c>
    </row>
    <row r="9" spans="2:16" ht="21.75" thickBot="1" x14ac:dyDescent="0.3">
      <c r="B9" s="34">
        <v>5</v>
      </c>
      <c r="C9" s="29" t="s">
        <v>88</v>
      </c>
      <c r="D9" s="29">
        <f>7+5+6</f>
        <v>18</v>
      </c>
      <c r="E9" s="29">
        <f>2101+1945+1928</f>
        <v>5974</v>
      </c>
      <c r="F9" s="29">
        <f>2404+2230+2167</f>
        <v>6801</v>
      </c>
      <c r="G9" s="30">
        <f t="shared" si="0"/>
        <v>188.91666666666666</v>
      </c>
      <c r="H9" s="30">
        <f t="shared" si="1"/>
        <v>165.94444444444446</v>
      </c>
      <c r="I9" s="27">
        <f t="shared" si="2"/>
        <v>36</v>
      </c>
    </row>
    <row r="10" spans="2:16" ht="21.75" thickBot="1" x14ac:dyDescent="0.3">
      <c r="B10" s="28">
        <v>6</v>
      </c>
      <c r="C10" s="29" t="s">
        <v>51</v>
      </c>
      <c r="D10" s="29">
        <f>7+6+5</f>
        <v>18</v>
      </c>
      <c r="E10" s="29">
        <f>1979+2004+1711</f>
        <v>5694</v>
      </c>
      <c r="F10" s="29">
        <f>2300+2325+2077</f>
        <v>6702</v>
      </c>
      <c r="G10" s="30">
        <f t="shared" si="0"/>
        <v>186.16666666666666</v>
      </c>
      <c r="H10" s="30">
        <f t="shared" si="1"/>
        <v>158.16666666666666</v>
      </c>
      <c r="I10" s="27">
        <f t="shared" si="2"/>
        <v>36</v>
      </c>
    </row>
    <row r="11" spans="2:16" ht="21.75" thickBot="1" x14ac:dyDescent="0.3">
      <c r="B11" s="28">
        <v>7</v>
      </c>
      <c r="C11" s="29" t="s">
        <v>206</v>
      </c>
      <c r="D11" s="29">
        <f>4+8+3</f>
        <v>15</v>
      </c>
      <c r="E11" s="29">
        <f>1522+1553+1303</f>
        <v>4378</v>
      </c>
      <c r="F11" s="29">
        <f>2162+2177+1933</f>
        <v>6272</v>
      </c>
      <c r="G11" s="30">
        <f t="shared" si="0"/>
        <v>174.22222222222223</v>
      </c>
      <c r="H11" s="30">
        <f t="shared" si="1"/>
        <v>121.61111111111111</v>
      </c>
      <c r="I11" s="27">
        <f t="shared" si="2"/>
        <v>36</v>
      </c>
    </row>
    <row r="12" spans="2:16" ht="21.75" thickBot="1" x14ac:dyDescent="0.3">
      <c r="B12" s="28">
        <v>8</v>
      </c>
      <c r="C12" s="29" t="s">
        <v>87</v>
      </c>
      <c r="D12" s="29">
        <f>1+7+4</f>
        <v>12</v>
      </c>
      <c r="E12" s="29">
        <f>1639+1812+1793</f>
        <v>5244</v>
      </c>
      <c r="F12" s="29">
        <f>2035+2223+2207</f>
        <v>6465</v>
      </c>
      <c r="G12" s="30">
        <f t="shared" si="0"/>
        <v>179.58333333333334</v>
      </c>
      <c r="H12" s="30">
        <f t="shared" si="1"/>
        <v>145.66666666666666</v>
      </c>
      <c r="I12" s="27">
        <f t="shared" si="2"/>
        <v>36</v>
      </c>
    </row>
    <row r="13" spans="2:16" ht="21.75" thickBot="1" x14ac:dyDescent="0.3">
      <c r="B13" s="28">
        <v>9</v>
      </c>
      <c r="C13" s="29" t="s">
        <v>58</v>
      </c>
      <c r="D13" s="29">
        <f>5+2+4</f>
        <v>11</v>
      </c>
      <c r="E13" s="29">
        <f>1939+1837+1851</f>
        <v>5627</v>
      </c>
      <c r="F13" s="29">
        <f>2263+2125+2139</f>
        <v>6527</v>
      </c>
      <c r="G13" s="30">
        <f t="shared" si="0"/>
        <v>181.30555555555554</v>
      </c>
      <c r="H13" s="30">
        <f t="shared" si="1"/>
        <v>156.30555555555554</v>
      </c>
      <c r="I13" s="27">
        <f t="shared" si="2"/>
        <v>36</v>
      </c>
    </row>
    <row r="14" spans="2:16" ht="21.75" thickBot="1" x14ac:dyDescent="0.3">
      <c r="B14" s="28">
        <v>10</v>
      </c>
      <c r="C14" s="29" t="s">
        <v>23</v>
      </c>
      <c r="D14" s="29">
        <f>1+6+2</f>
        <v>9</v>
      </c>
      <c r="E14" s="29">
        <f>1582+2006+1808</f>
        <v>5396</v>
      </c>
      <c r="F14" s="29">
        <f>1987+2309+2111</f>
        <v>6407</v>
      </c>
      <c r="G14" s="30">
        <f t="shared" si="0"/>
        <v>177.97222222222223</v>
      </c>
      <c r="H14" s="30">
        <f t="shared" si="1"/>
        <v>149.88888888888889</v>
      </c>
      <c r="I14" s="27">
        <f t="shared" si="2"/>
        <v>36</v>
      </c>
    </row>
    <row r="15" spans="2:16" ht="21.75" thickBot="1" x14ac:dyDescent="0.3">
      <c r="B15" s="28"/>
      <c r="C15" s="25" t="s">
        <v>89</v>
      </c>
      <c r="D15" s="29"/>
      <c r="E15" s="26">
        <f>SUM(E3:E14)</f>
        <v>56695</v>
      </c>
      <c r="F15" s="26">
        <f>SUM(F3:F14)</f>
        <v>66248</v>
      </c>
      <c r="G15" s="30" t="e">
        <f>F16/I16</f>
        <v>#DIV/0!</v>
      </c>
      <c r="H15" s="30" t="e">
        <f t="shared" ref="H15" si="3"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360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3</v>
      </c>
      <c r="F19" s="20" t="s">
        <v>78</v>
      </c>
      <c r="G19" s="21" t="s">
        <v>79</v>
      </c>
      <c r="H19" s="22">
        <f>SUM(H3)</f>
        <v>46281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204</v>
      </c>
      <c r="D21" s="29">
        <v>10</v>
      </c>
      <c r="E21" s="29">
        <v>2138</v>
      </c>
      <c r="F21" s="29">
        <v>2381</v>
      </c>
      <c r="G21" s="30">
        <f t="shared" ref="G21:G30" si="4">F21/I21</f>
        <v>198.41666666666666</v>
      </c>
      <c r="H21" s="30">
        <f t="shared" ref="H21:H30" si="5">E21/I21</f>
        <v>178.16666666666666</v>
      </c>
      <c r="I21" s="27">
        <v>12</v>
      </c>
    </row>
    <row r="22" spans="2:17" ht="21.75" thickBot="1" x14ac:dyDescent="0.3">
      <c r="B22" s="28">
        <v>2</v>
      </c>
      <c r="C22" s="29" t="s">
        <v>207</v>
      </c>
      <c r="D22" s="29">
        <v>8</v>
      </c>
      <c r="E22" s="29">
        <v>2280</v>
      </c>
      <c r="F22" s="29">
        <v>2280</v>
      </c>
      <c r="G22" s="30">
        <f t="shared" si="4"/>
        <v>190</v>
      </c>
      <c r="H22" s="30">
        <f t="shared" si="5"/>
        <v>190</v>
      </c>
      <c r="I22" s="27">
        <v>12</v>
      </c>
    </row>
    <row r="23" spans="2:17" ht="21.75" thickBot="1" x14ac:dyDescent="0.3">
      <c r="B23" s="28">
        <v>3</v>
      </c>
      <c r="C23" s="29" t="s">
        <v>30</v>
      </c>
      <c r="D23" s="29">
        <v>7</v>
      </c>
      <c r="E23" s="29">
        <v>1889</v>
      </c>
      <c r="F23" s="29">
        <v>2213</v>
      </c>
      <c r="G23" s="30">
        <f t="shared" si="4"/>
        <v>184.41666666666666</v>
      </c>
      <c r="H23" s="30">
        <f t="shared" si="5"/>
        <v>157.41666666666666</v>
      </c>
      <c r="I23" s="27">
        <v>12</v>
      </c>
    </row>
    <row r="24" spans="2:17" ht="21.75" thickBot="1" x14ac:dyDescent="0.3">
      <c r="B24" s="28">
        <v>4</v>
      </c>
      <c r="C24" s="29" t="s">
        <v>88</v>
      </c>
      <c r="D24" s="29">
        <v>6</v>
      </c>
      <c r="E24" s="29">
        <v>1928</v>
      </c>
      <c r="F24" s="29">
        <v>2167</v>
      </c>
      <c r="G24" s="30">
        <f t="shared" si="4"/>
        <v>180.58333333333334</v>
      </c>
      <c r="H24" s="30">
        <f t="shared" si="5"/>
        <v>160.66666666666666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51</v>
      </c>
      <c r="D25" s="29">
        <v>5</v>
      </c>
      <c r="E25" s="29">
        <v>1711</v>
      </c>
      <c r="F25" s="29">
        <v>2077</v>
      </c>
      <c r="G25" s="30">
        <f t="shared" si="4"/>
        <v>173.08333333333334</v>
      </c>
      <c r="H25" s="30">
        <f t="shared" si="5"/>
        <v>142.58333333333334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91</v>
      </c>
      <c r="D26" s="29">
        <v>4</v>
      </c>
      <c r="E26" s="29">
        <v>1793</v>
      </c>
      <c r="F26" s="29">
        <v>2207</v>
      </c>
      <c r="G26" s="30">
        <f t="shared" si="4"/>
        <v>183.91666666666666</v>
      </c>
      <c r="H26" s="30">
        <f t="shared" si="5"/>
        <v>149.41666666666666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58</v>
      </c>
      <c r="D27" s="29">
        <v>4</v>
      </c>
      <c r="E27" s="29">
        <v>1851</v>
      </c>
      <c r="F27" s="29">
        <v>2139</v>
      </c>
      <c r="G27" s="30">
        <f t="shared" si="4"/>
        <v>178.25</v>
      </c>
      <c r="H27" s="30">
        <f t="shared" si="5"/>
        <v>154.25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144</v>
      </c>
      <c r="D28" s="29">
        <v>4</v>
      </c>
      <c r="E28" s="29">
        <v>1694</v>
      </c>
      <c r="F28" s="29">
        <v>2112</v>
      </c>
      <c r="G28" s="30">
        <f t="shared" si="4"/>
        <v>176</v>
      </c>
      <c r="H28" s="30">
        <f t="shared" si="5"/>
        <v>141.16666666666666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206</v>
      </c>
      <c r="D29" s="29">
        <v>3</v>
      </c>
      <c r="E29" s="29">
        <v>1303</v>
      </c>
      <c r="F29" s="29">
        <v>1933</v>
      </c>
      <c r="G29" s="30">
        <f t="shared" si="4"/>
        <v>161.08333333333334</v>
      </c>
      <c r="H29" s="30">
        <f t="shared" si="5"/>
        <v>108.58333333333333</v>
      </c>
      <c r="I29" s="27">
        <v>12</v>
      </c>
    </row>
    <row r="30" spans="2:17" ht="21.75" thickBot="1" x14ac:dyDescent="0.3">
      <c r="B30" s="34">
        <v>10</v>
      </c>
      <c r="C30" s="29" t="s">
        <v>23</v>
      </c>
      <c r="D30" s="29">
        <v>2</v>
      </c>
      <c r="E30" s="29">
        <v>1808</v>
      </c>
      <c r="F30" s="29">
        <v>2111</v>
      </c>
      <c r="G30" s="30">
        <f t="shared" si="4"/>
        <v>175.91666666666666</v>
      </c>
      <c r="H30" s="30">
        <f t="shared" si="5"/>
        <v>150.66666666666666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18395</v>
      </c>
      <c r="F33" s="38">
        <f>SUM(F21:F32)</f>
        <v>21620</v>
      </c>
      <c r="G33" s="30">
        <f>F33/I33</f>
        <v>180.16666666666666</v>
      </c>
      <c r="H33" s="30">
        <f>E33/I33</f>
        <v>153.29166666666666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2"/>
  <sheetViews>
    <sheetView topLeftCell="A10" workbookViewId="0">
      <selection activeCell="A10" sqref="A1:XFD1048576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4</v>
      </c>
      <c r="F2" s="5" t="s">
        <v>1</v>
      </c>
      <c r="G2" s="7">
        <v>46288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163.78494623655914</v>
      </c>
      <c r="E5" s="3">
        <f t="shared" ref="E5:E10" si="0">SUM(200-D5)*0.8</f>
        <v>28.972043010752692</v>
      </c>
      <c r="F5" s="1">
        <f>81+3+3+3+3</f>
        <v>93</v>
      </c>
      <c r="G5" s="1">
        <f>13406+488+461+433+444</f>
        <v>15232</v>
      </c>
      <c r="H5" s="3">
        <f>16014+584+557+517+531</f>
        <v>18203</v>
      </c>
      <c r="I5" s="2">
        <f>SUM(H5)/F5</f>
        <v>195.73118279569891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177.37254901960785</v>
      </c>
      <c r="E6" s="3">
        <f t="shared" si="0"/>
        <v>18.101960784313725</v>
      </c>
      <c r="F6" s="1">
        <f>93+3+3+3</f>
        <v>102</v>
      </c>
      <c r="G6" s="1">
        <f>16611+518+489+474</f>
        <v>18092</v>
      </c>
      <c r="H6" s="3">
        <f>18506+569+543+528</f>
        <v>20146</v>
      </c>
      <c r="I6" s="2">
        <f>SUM(H6)/F6</f>
        <v>197.50980392156862</v>
      </c>
      <c r="J6" s="1">
        <v>518</v>
      </c>
      <c r="K6" s="1">
        <v>569</v>
      </c>
      <c r="L6" s="1">
        <v>217</v>
      </c>
      <c r="M6" s="1">
        <v>234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152.30985915492957</v>
      </c>
      <c r="E8" s="3">
        <f t="shared" si="0"/>
        <v>38.152112676056348</v>
      </c>
      <c r="F8" s="1">
        <f>59+3+3+3+3</f>
        <v>71</v>
      </c>
      <c r="G8" s="1">
        <f>9150+403+401+430+430</f>
        <v>10814</v>
      </c>
      <c r="H8" s="3">
        <f>11231+511+512+544+544</f>
        <v>13342</v>
      </c>
      <c r="I8" s="2">
        <f>SUM(H8)/F8</f>
        <v>187.91549295774647</v>
      </c>
      <c r="J8" s="1">
        <v>430</v>
      </c>
      <c r="K8" s="1">
        <v>544</v>
      </c>
      <c r="L8" s="1">
        <v>175</v>
      </c>
      <c r="M8" s="1">
        <v>213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188.52252252252254</v>
      </c>
      <c r="E9" s="3">
        <f t="shared" si="0"/>
        <v>9.1819819819819717</v>
      </c>
      <c r="F9" s="1">
        <f>102+3+3+3</f>
        <v>111</v>
      </c>
      <c r="G9" s="1">
        <f>19257+568+565+536</f>
        <v>20926</v>
      </c>
      <c r="H9" s="3">
        <f>20034+595+592+563</f>
        <v>21784</v>
      </c>
      <c r="I9" s="2">
        <f>SUM(H9)/F9</f>
        <v>196.25225225225225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171.81481481481481</v>
      </c>
      <c r="E10" s="3">
        <f t="shared" si="0"/>
        <v>22.548148148148154</v>
      </c>
      <c r="F10" s="1">
        <f>75+3+3</f>
        <v>81</v>
      </c>
      <c r="G10" s="1">
        <f>12761+642+514</f>
        <v>13917</v>
      </c>
      <c r="H10" s="3">
        <f>15264+714+580</f>
        <v>16558</v>
      </c>
      <c r="I10" s="2">
        <f>SUM(H10)/F10</f>
        <v>204.41975308641975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>
        <f>SUM(G11)/F11</f>
        <v>162.39285714285714</v>
      </c>
      <c r="F11" s="1">
        <f>28</f>
        <v>28</v>
      </c>
      <c r="G11" s="1">
        <f>4547</f>
        <v>4547</v>
      </c>
      <c r="H11" s="3">
        <f>5163</f>
        <v>5163</v>
      </c>
      <c r="I11" s="2">
        <f>SUM(H11)/F11</f>
        <v>184.39285714285714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171.86831275720164</v>
      </c>
      <c r="E13" s="10"/>
      <c r="F13" s="5">
        <f>SUM(F5:F12)</f>
        <v>486</v>
      </c>
      <c r="G13" s="15">
        <f>SUM(G5:G12)</f>
        <v>83528</v>
      </c>
      <c r="H13" s="10">
        <f>SUM(H5:H12)</f>
        <v>95196</v>
      </c>
      <c r="I13" s="8">
        <f>SUM(H13)/F13</f>
        <v>195.87654320987653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3" si="1">SUM(G17)/F17</f>
        <v>182.86666666666667</v>
      </c>
      <c r="E17" s="3">
        <f t="shared" ref="E17:E22" si="2">SUM(200-D17)*0.8</f>
        <v>13.706666666666662</v>
      </c>
      <c r="F17" s="1">
        <f>93+3+3+3+3</f>
        <v>105</v>
      </c>
      <c r="G17" s="1">
        <f>17166+524+546+459+506</f>
        <v>19201</v>
      </c>
      <c r="H17" s="3">
        <f>18348+560+585+498+548</f>
        <v>20539</v>
      </c>
      <c r="I17" s="2">
        <v>192.66</v>
      </c>
      <c r="J17" s="1">
        <v>546</v>
      </c>
      <c r="K17" s="1">
        <v>585</v>
      </c>
      <c r="L17" s="1">
        <v>199</v>
      </c>
      <c r="M17" s="1">
        <v>212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149.19999999999999</v>
      </c>
      <c r="E18" s="3">
        <f t="shared" si="2"/>
        <v>40.640000000000015</v>
      </c>
      <c r="F18" s="1">
        <f>57+3</f>
        <v>60</v>
      </c>
      <c r="G18" s="1">
        <f>8611+341</f>
        <v>8952</v>
      </c>
      <c r="H18" s="3">
        <f>10789+458</f>
        <v>11247</v>
      </c>
      <c r="I18" s="2">
        <v>192.9111111111111</v>
      </c>
      <c r="J18" s="1">
        <v>341</v>
      </c>
      <c r="K18" s="1">
        <v>458</v>
      </c>
      <c r="L18" s="1">
        <v>122</v>
      </c>
      <c r="M18" s="1">
        <v>161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170.23333333333332</v>
      </c>
      <c r="E19" s="3">
        <f t="shared" si="2"/>
        <v>23.813333333333347</v>
      </c>
      <c r="F19" s="1">
        <f>21+3+3+3</f>
        <v>30</v>
      </c>
      <c r="G19" s="1">
        <f>3539+538+491+539</f>
        <v>5107</v>
      </c>
      <c r="H19" s="3">
        <f>4052+613+563+614</f>
        <v>5842</v>
      </c>
      <c r="I19" s="2">
        <f>SUM(H19)/F19</f>
        <v>194.73333333333332</v>
      </c>
      <c r="J19" s="1">
        <v>539</v>
      </c>
      <c r="K19" s="1">
        <v>614</v>
      </c>
      <c r="L19" s="1">
        <v>184</v>
      </c>
      <c r="M19" s="1">
        <v>209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142.65765765765767</v>
      </c>
      <c r="E20" s="3">
        <f t="shared" si="2"/>
        <v>45.873873873873869</v>
      </c>
      <c r="F20" s="1">
        <f>99+3+3+3+3</f>
        <v>111</v>
      </c>
      <c r="G20" s="1">
        <f>14326+304+428+363+414</f>
        <v>15835</v>
      </c>
      <c r="H20" s="3">
        <f>18808+436+566+501+552</f>
        <v>20863</v>
      </c>
      <c r="I20" s="2">
        <f>SUM(H20)/F20</f>
        <v>187.95495495495496</v>
      </c>
      <c r="J20" s="1">
        <v>428</v>
      </c>
      <c r="K20" s="1">
        <v>566</v>
      </c>
      <c r="L20" s="1">
        <v>154</v>
      </c>
      <c r="M20" s="1">
        <v>200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149.34444444444443</v>
      </c>
      <c r="E21" s="3">
        <f t="shared" si="2"/>
        <v>40.524444444444455</v>
      </c>
      <c r="F21" s="1">
        <f>87+3</f>
        <v>90</v>
      </c>
      <c r="G21" s="1">
        <f>13028+413</f>
        <v>13441</v>
      </c>
      <c r="H21" s="3">
        <f>16637+533</f>
        <v>17170</v>
      </c>
      <c r="I21" s="2">
        <f>SUM(H21)/F21</f>
        <v>190.77777777777777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176.72727272727272</v>
      </c>
      <c r="E22" s="3">
        <f t="shared" si="2"/>
        <v>18.618181818181824</v>
      </c>
      <c r="F22" s="1">
        <f>90+3+3+3</f>
        <v>99</v>
      </c>
      <c r="G22" s="1">
        <f>16066+494+495+441</f>
        <v>17496</v>
      </c>
      <c r="H22" s="3">
        <f>17575+545+549+495</f>
        <v>19164</v>
      </c>
      <c r="I22" s="2">
        <f>SUM(H22)/F22</f>
        <v>193.57575757575756</v>
      </c>
      <c r="J22" s="1">
        <v>495</v>
      </c>
      <c r="K22" s="1">
        <v>549</v>
      </c>
      <c r="L22" s="1">
        <v>177</v>
      </c>
      <c r="M22" s="1">
        <v>194</v>
      </c>
    </row>
    <row r="23" spans="1:17" x14ac:dyDescent="0.35">
      <c r="C23" s="4" t="s">
        <v>21</v>
      </c>
      <c r="D23" s="2">
        <f t="shared" si="1"/>
        <v>404.5</v>
      </c>
      <c r="F23" s="1">
        <f>18</f>
        <v>18</v>
      </c>
      <c r="G23" s="1">
        <f>7281</f>
        <v>7281</v>
      </c>
      <c r="H23" s="3">
        <f>3294</f>
        <v>3294</v>
      </c>
      <c r="I23" s="2">
        <f>SUM(H23)/F23</f>
        <v>183</v>
      </c>
    </row>
    <row r="24" spans="1:17" x14ac:dyDescent="0.35">
      <c r="C24" s="4"/>
      <c r="F24" s="12"/>
      <c r="G24" s="12"/>
      <c r="H24" s="13"/>
    </row>
    <row r="25" spans="1:17" x14ac:dyDescent="0.35">
      <c r="C25" s="14" t="s">
        <v>22</v>
      </c>
      <c r="D25" s="8">
        <f>SUM(G25)/F25</f>
        <v>170.20077972709552</v>
      </c>
      <c r="E25" s="10"/>
      <c r="F25" s="5">
        <f>SUM(F17:F23)</f>
        <v>513</v>
      </c>
      <c r="G25" s="15">
        <f>SUM(G17:G24)</f>
        <v>87313</v>
      </c>
      <c r="H25" s="10">
        <f>SUM(H17:H24)</f>
        <v>98119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3">SUM(G29)/F29</f>
        <v>177.58585858585857</v>
      </c>
      <c r="E29" s="3">
        <f>SUM(200-D29)*0.8</f>
        <v>17.931313131313143</v>
      </c>
      <c r="F29" s="1">
        <f>87+3+3+3+3</f>
        <v>99</v>
      </c>
      <c r="G29" s="1">
        <f>15512+553+492+512+512</f>
        <v>17581</v>
      </c>
      <c r="H29" s="3">
        <f>17093+604+546+566+566</f>
        <v>19375</v>
      </c>
      <c r="I29" s="2">
        <f t="shared" ref="I29:I34" si="4">SUM(H29)/F29</f>
        <v>195.7070707070707</v>
      </c>
      <c r="J29" s="1">
        <v>553</v>
      </c>
      <c r="K29" s="1">
        <v>604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3"/>
        <v>87.166666666666671</v>
      </c>
      <c r="E30" s="3">
        <v>64</v>
      </c>
      <c r="F30" s="1">
        <f>3+3</f>
        <v>6</v>
      </c>
      <c r="G30" s="1">
        <f>308+215</f>
        <v>523</v>
      </c>
      <c r="H30" s="3">
        <f>500+407</f>
        <v>907</v>
      </c>
      <c r="I30" s="2">
        <f t="shared" si="4"/>
        <v>151.16666666666666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3"/>
        <v>123.33333333333333</v>
      </c>
      <c r="E31" s="3">
        <v>64</v>
      </c>
      <c r="F31" s="1">
        <f>3+3</f>
        <v>6</v>
      </c>
      <c r="G31" s="1">
        <f>332+408</f>
        <v>740</v>
      </c>
      <c r="H31" s="3" t="s">
        <v>228</v>
      </c>
      <c r="I31" s="2">
        <f t="shared" si="4"/>
        <v>0</v>
      </c>
      <c r="J31" s="1">
        <v>408</v>
      </c>
      <c r="K31" s="1">
        <v>600</v>
      </c>
      <c r="L31" s="1">
        <v>146</v>
      </c>
      <c r="M31" s="1">
        <v>210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3"/>
        <v>200.33333333333334</v>
      </c>
      <c r="E32" s="3">
        <f>SUM(200-D32)*0.8</f>
        <v>-0.26666666666667427</v>
      </c>
      <c r="F32" s="1">
        <f>72+3+3+3</f>
        <v>81</v>
      </c>
      <c r="G32" s="1">
        <f>14572+572+539+544</f>
        <v>16227</v>
      </c>
      <c r="H32" s="3">
        <f>14596+572+539+544</f>
        <v>16251</v>
      </c>
      <c r="I32" s="2">
        <f t="shared" si="4"/>
        <v>200.62962962962962</v>
      </c>
      <c r="J32" s="1">
        <v>572</v>
      </c>
      <c r="K32" s="1">
        <v>572</v>
      </c>
      <c r="L32" s="1">
        <v>194</v>
      </c>
      <c r="M32" s="1">
        <v>194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3"/>
        <v>200.93333333333334</v>
      </c>
      <c r="E33" s="3">
        <f>SUM(200-D33)*0.8</f>
        <v>-0.7466666666666697</v>
      </c>
      <c r="F33" s="1">
        <f>54+3+3</f>
        <v>60</v>
      </c>
      <c r="G33" s="1">
        <f>10829+612+615</f>
        <v>12056</v>
      </c>
      <c r="H33" s="3">
        <f>10984+612+615</f>
        <v>12211</v>
      </c>
      <c r="I33" s="2">
        <f t="shared" si="4"/>
        <v>203.51666666666668</v>
      </c>
      <c r="J33" s="1">
        <v>615</v>
      </c>
      <c r="K33" s="1">
        <v>615</v>
      </c>
      <c r="L33" s="1">
        <v>232</v>
      </c>
      <c r="M33" s="1">
        <v>232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3"/>
        <v>202</v>
      </c>
      <c r="E34" s="3">
        <f>SUM(200-D34)*0.8</f>
        <v>-1.6</v>
      </c>
      <c r="F34" s="1">
        <f>51+3+3</f>
        <v>57</v>
      </c>
      <c r="G34" s="1">
        <f>10391+572+551</f>
        <v>11514</v>
      </c>
      <c r="H34" s="3">
        <f>10445+572+551</f>
        <v>11568</v>
      </c>
      <c r="I34" s="2">
        <f t="shared" si="4"/>
        <v>202.94736842105263</v>
      </c>
      <c r="J34" s="1">
        <v>572</v>
      </c>
      <c r="K34" s="1">
        <v>572</v>
      </c>
      <c r="L34" s="1">
        <v>225</v>
      </c>
      <c r="M34" s="1">
        <v>225</v>
      </c>
    </row>
    <row r="35" spans="1:13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189.79807692307693</v>
      </c>
      <c r="E37" s="10"/>
      <c r="F37" s="5">
        <f>SUM(F29:F36)</f>
        <v>312</v>
      </c>
      <c r="G37" s="5">
        <f>SUM(G29:G36)</f>
        <v>59217</v>
      </c>
      <c r="H37" s="16">
        <f>SUM(H29:H36)</f>
        <v>60888</v>
      </c>
      <c r="I37" s="8">
        <f>SUM(H37)/F37</f>
        <v>195.15384615384616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 t="shared" ref="D42:D47" si="5">SUM(G42)/F42</f>
        <v>175.37606837606839</v>
      </c>
      <c r="E42" s="3">
        <f t="shared" ref="E42:E47" si="6">SUM(200-D42)*0.8</f>
        <v>19.69914529914529</v>
      </c>
      <c r="F42" s="1">
        <f>105+3+3+3+3</f>
        <v>117</v>
      </c>
      <c r="G42" s="1">
        <f>18432+546+482+514+545</f>
        <v>20519</v>
      </c>
      <c r="H42" s="3">
        <f>20790+606+539+574+605</f>
        <v>23114</v>
      </c>
      <c r="I42" s="2">
        <f>SUM(H42)/F42</f>
        <v>197.55555555555554</v>
      </c>
      <c r="J42" s="1">
        <v>546</v>
      </c>
      <c r="K42" s="1">
        <v>606</v>
      </c>
      <c r="L42" s="1">
        <v>203</v>
      </c>
      <c r="M42" s="1">
        <v>223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 t="shared" si="5"/>
        <v>163.70238095238096</v>
      </c>
      <c r="E43" s="3">
        <f t="shared" si="6"/>
        <v>29.038095238095231</v>
      </c>
      <c r="F43" s="1">
        <f>72+3+3+3+3</f>
        <v>84</v>
      </c>
      <c r="G43" s="1">
        <f>11948+475+468+417+443</f>
        <v>13751</v>
      </c>
      <c r="H43" s="3">
        <f>13949+556+549+501+530</f>
        <v>16085</v>
      </c>
      <c r="I43" s="2">
        <f>SUM(H43)/F43</f>
        <v>191.48809523809524</v>
      </c>
      <c r="J43" s="1">
        <v>475</v>
      </c>
      <c r="K43" s="1">
        <v>556</v>
      </c>
      <c r="L43" s="1">
        <v>197</v>
      </c>
      <c r="M43" s="1">
        <v>224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 t="shared" si="5"/>
        <v>168.46875</v>
      </c>
      <c r="E44" s="3">
        <f t="shared" si="6"/>
        <v>25.225000000000001</v>
      </c>
      <c r="F44" s="1">
        <f>87+3+3+3</f>
        <v>96</v>
      </c>
      <c r="G44" s="1">
        <f>14675+484+533+481</f>
        <v>16173</v>
      </c>
      <c r="H44" s="3">
        <f>17348+559+611+556</f>
        <v>19074</v>
      </c>
      <c r="I44" s="2">
        <f>SUM(H44)/F44</f>
        <v>198.6875</v>
      </c>
      <c r="J44" s="1">
        <v>533</v>
      </c>
      <c r="K44" s="1">
        <v>611</v>
      </c>
      <c r="L44" s="1">
        <v>202</v>
      </c>
      <c r="M44" s="1">
        <v>228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 t="shared" si="5"/>
        <v>176.80392156862746</v>
      </c>
      <c r="E45" s="3">
        <f>SUM(200-D45)*0.8</f>
        <v>18.556862745098034</v>
      </c>
      <c r="F45" s="1">
        <f>93+3+3+3</f>
        <v>102</v>
      </c>
      <c r="G45" s="1">
        <f>16413+452+518+651</f>
        <v>18034</v>
      </c>
      <c r="H45" s="3">
        <f>18081+509+575+708</f>
        <v>19873</v>
      </c>
      <c r="I45" s="2">
        <f>SUM(H45)/F45</f>
        <v>194.83333333333334</v>
      </c>
      <c r="J45" s="1">
        <v>651</v>
      </c>
      <c r="K45" s="1">
        <v>708</v>
      </c>
      <c r="L45" s="1">
        <v>225</v>
      </c>
      <c r="M45" s="1">
        <v>244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 t="shared" si="5"/>
        <v>150.65151515151516</v>
      </c>
      <c r="E46" s="3">
        <f t="shared" si="6"/>
        <v>39.478787878787877</v>
      </c>
      <c r="F46" s="1">
        <f>63+3</f>
        <v>66</v>
      </c>
      <c r="G46" s="1">
        <f>9503+440</f>
        <v>9943</v>
      </c>
      <c r="H46" s="1">
        <f>12113+563</f>
        <v>12676</v>
      </c>
      <c r="I46" s="2">
        <f t="shared" ref="I46:I51" si="7">SUM(H46)/F46</f>
        <v>192.06060606060606</v>
      </c>
      <c r="J46" s="1">
        <v>440</v>
      </c>
      <c r="K46" s="1">
        <v>563</v>
      </c>
      <c r="L46" s="1">
        <v>148</v>
      </c>
      <c r="M46" s="1">
        <v>189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5"/>
        <v>116</v>
      </c>
      <c r="E47" s="3">
        <f t="shared" si="6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>
        <f>SUM(G50)/F50</f>
        <v>147.6</v>
      </c>
      <c r="F50" s="1">
        <f>45</f>
        <v>45</v>
      </c>
      <c r="G50" s="1">
        <f>6642</f>
        <v>6642</v>
      </c>
      <c r="H50" s="3">
        <f>8161</f>
        <v>8161</v>
      </c>
      <c r="I50" s="2">
        <f t="shared" si="7"/>
        <v>181.35555555555555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166.49122807017545</v>
      </c>
      <c r="E51" s="10"/>
      <c r="F51" s="5">
        <f>SUM(F42:F50)</f>
        <v>513</v>
      </c>
      <c r="G51" s="5">
        <f>SUM(G41:G50)</f>
        <v>85410</v>
      </c>
      <c r="H51" s="16">
        <f>SUM(H41:H50)</f>
        <v>99523</v>
      </c>
      <c r="I51" s="8">
        <f t="shared" si="7"/>
        <v>194.00194931773879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155.39583333333334</v>
      </c>
      <c r="E59" s="3">
        <f>SUM(200-D59)*0.8</f>
        <v>35.68333333333333</v>
      </c>
      <c r="F59" s="1">
        <f>36+3+3+3+3</f>
        <v>48</v>
      </c>
      <c r="G59" s="1">
        <f>5633+441+473+481+431</f>
        <v>7459</v>
      </c>
      <c r="H59" s="3">
        <f>6904+546+578+586+536</f>
        <v>9150</v>
      </c>
      <c r="I59" s="2">
        <f>SUM(H59)/F59</f>
        <v>190.625</v>
      </c>
      <c r="J59" s="1">
        <v>481</v>
      </c>
      <c r="K59" s="1">
        <v>586</v>
      </c>
      <c r="L59" s="1">
        <v>196</v>
      </c>
      <c r="M59" s="1">
        <v>231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113.33333333333333</v>
      </c>
      <c r="E61" s="3">
        <v>64</v>
      </c>
      <c r="F61" s="1">
        <f>3+3+3+3</f>
        <v>12</v>
      </c>
      <c r="G61" s="1">
        <f>319+353+315+373</f>
        <v>1360</v>
      </c>
      <c r="H61" s="3">
        <f>511+542+507+565</f>
        <v>2125</v>
      </c>
      <c r="I61" s="2">
        <f>SUM(H61)/F61</f>
        <v>177.08333333333334</v>
      </c>
      <c r="J61" s="1">
        <v>373</v>
      </c>
      <c r="K61" s="1">
        <v>565</v>
      </c>
      <c r="L61" s="1">
        <v>132</v>
      </c>
      <c r="M61" s="1">
        <v>196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120.22222222222223</v>
      </c>
      <c r="E62" s="3">
        <f>SUM(200-D62)*0.8</f>
        <v>63.822222222222223</v>
      </c>
      <c r="F62" s="1">
        <f>3+3+3</f>
        <v>9</v>
      </c>
      <c r="G62" s="1">
        <f>354+364+364</f>
        <v>1082</v>
      </c>
      <c r="H62" s="3">
        <f>546+556+556</f>
        <v>1658</v>
      </c>
      <c r="I62" s="2">
        <f>SUM(H62)/F62</f>
        <v>184.22222222222223</v>
      </c>
      <c r="J62" s="1">
        <v>364</v>
      </c>
      <c r="K62" s="1">
        <v>556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136.19999999999999</v>
      </c>
      <c r="E63" s="3">
        <f>SUM(200-D63)*0.8</f>
        <v>51.040000000000013</v>
      </c>
      <c r="F63" s="1">
        <f>21+3+3+3</f>
        <v>30</v>
      </c>
      <c r="G63" s="1">
        <f>3033+362+342+349</f>
        <v>4086</v>
      </c>
      <c r="H63" s="3">
        <f>3951+497+483+499</f>
        <v>5430</v>
      </c>
      <c r="I63" s="2">
        <f>SUM(H63)/F63</f>
        <v>181</v>
      </c>
      <c r="J63" s="1">
        <v>362</v>
      </c>
      <c r="K63" s="1">
        <v>499</v>
      </c>
      <c r="L63" s="1">
        <v>130</v>
      </c>
      <c r="M63" s="1">
        <v>180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F66" s="1">
        <f>3</f>
        <v>3</v>
      </c>
      <c r="G66" s="1">
        <f>330</f>
        <v>330</v>
      </c>
      <c r="H66" s="3">
        <f>522</f>
        <v>522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172.03326935380679</v>
      </c>
      <c r="E68" s="10"/>
      <c r="F68" s="5">
        <f>SUM(F33:F66)</f>
        <v>1563</v>
      </c>
      <c r="G68" s="5">
        <f>SUM(G33:G66)</f>
        <v>268888</v>
      </c>
      <c r="H68" s="10">
        <f>SUM(H33:H66)</f>
        <v>303733</v>
      </c>
      <c r="I68" s="8">
        <f>SUM(H68)/F68</f>
        <v>194.32693538067818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151.86021505376345</v>
      </c>
      <c r="E72" s="3">
        <f>SUM(200-D72)*0.8</f>
        <v>38.511827956989237</v>
      </c>
      <c r="F72" s="1">
        <f>84+3+3+3</f>
        <v>93</v>
      </c>
      <c r="G72" s="1">
        <f>12950+367+435+371</f>
        <v>14123</v>
      </c>
      <c r="H72" s="3">
        <f>16031+478+549+485</f>
        <v>17543</v>
      </c>
      <c r="I72" s="2">
        <f>SUM(H72)/F72</f>
        <v>188.63440860215053</v>
      </c>
      <c r="J72" s="1">
        <v>435</v>
      </c>
      <c r="K72" s="1">
        <v>549</v>
      </c>
      <c r="L72" s="1">
        <v>171</v>
      </c>
      <c r="M72" s="1">
        <v>209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160.91228070175438</v>
      </c>
      <c r="E73" s="3">
        <f>SUM(200-D73)*0.8</f>
        <v>31.270175438596496</v>
      </c>
      <c r="F73" s="1">
        <f>48+3+3+3</f>
        <v>57</v>
      </c>
      <c r="G73" s="1">
        <f>7831+411+467+463</f>
        <v>9172</v>
      </c>
      <c r="H73" s="3">
        <f>9247+498+557+556</f>
        <v>10858</v>
      </c>
      <c r="I73" s="2">
        <f>SUM(H73)/F73</f>
        <v>190.49122807017545</v>
      </c>
      <c r="J73" s="1">
        <v>467</v>
      </c>
      <c r="K73" s="1">
        <v>557</v>
      </c>
      <c r="L73" s="1">
        <v>183</v>
      </c>
      <c r="M73" s="1">
        <v>213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153.36507936507937</v>
      </c>
      <c r="E74" s="3">
        <f>SUM(200-D74)*0.8</f>
        <v>37.30793650793651</v>
      </c>
      <c r="F74" s="1">
        <f>57+3+3</f>
        <v>63</v>
      </c>
      <c r="G74" s="1">
        <f>8913+388+361</f>
        <v>9662</v>
      </c>
      <c r="H74" s="3">
        <f>11013+493+469</f>
        <v>11975</v>
      </c>
      <c r="I74" s="2">
        <f>SUM(H74)/F74</f>
        <v>190.07936507936509</v>
      </c>
      <c r="J74" s="1">
        <v>388</v>
      </c>
      <c r="K74" s="1">
        <v>493</v>
      </c>
      <c r="L74" s="1">
        <v>137</v>
      </c>
      <c r="M74" s="1">
        <v>172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159.63636363636363</v>
      </c>
      <c r="E75" s="3">
        <f>SUM(200-D75)*0.8</f>
        <v>32.290909090909103</v>
      </c>
      <c r="F75" s="1">
        <f>57+3+3+3</f>
        <v>66</v>
      </c>
      <c r="G75" s="1">
        <f>9225+473+445+393</f>
        <v>10536</v>
      </c>
      <c r="H75" s="3">
        <f>11268+566+535+486</f>
        <v>12855</v>
      </c>
      <c r="I75" s="2">
        <f>SUM(H75)/F75</f>
        <v>194.77272727272728</v>
      </c>
      <c r="J75" s="1">
        <v>473</v>
      </c>
      <c r="K75" s="1">
        <v>566</v>
      </c>
      <c r="L75" s="1">
        <v>179</v>
      </c>
      <c r="M75" s="1">
        <v>209</v>
      </c>
    </row>
    <row r="76" spans="1:18" x14ac:dyDescent="0.35">
      <c r="A76" s="4" t="s">
        <v>13</v>
      </c>
      <c r="B76" s="4">
        <v>5</v>
      </c>
      <c r="C76" s="4" t="s">
        <v>222</v>
      </c>
      <c r="D76" s="2">
        <f>SUM(G76)/F76</f>
        <v>164.77777777777777</v>
      </c>
      <c r="E76" s="151">
        <f>SUM(200-D76)*0.8</f>
        <v>28.177777777777784</v>
      </c>
      <c r="F76" s="1">
        <f>3+3+3</f>
        <v>9</v>
      </c>
      <c r="G76" s="1">
        <f>454+514+515</f>
        <v>1483</v>
      </c>
      <c r="H76" s="1">
        <f>571+631+608</f>
        <v>1810</v>
      </c>
      <c r="I76" s="147">
        <f>SUM(H76)/F76</f>
        <v>201.11111111111111</v>
      </c>
      <c r="J76" s="1">
        <v>515</v>
      </c>
      <c r="K76" s="1">
        <v>631</v>
      </c>
      <c r="L76" s="1">
        <v>204</v>
      </c>
      <c r="M76" s="1">
        <v>235</v>
      </c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1" t="s">
        <v>13</v>
      </c>
      <c r="B78" s="1">
        <v>7</v>
      </c>
      <c r="C78" s="4" t="s">
        <v>50</v>
      </c>
      <c r="D78" s="2">
        <f>SUM(G78)/F78</f>
        <v>126.04761904761905</v>
      </c>
      <c r="E78" s="3">
        <f>SUM(200-D78)*0.8</f>
        <v>59.161904761904765</v>
      </c>
      <c r="F78" s="1">
        <f>21</f>
        <v>21</v>
      </c>
      <c r="G78" s="1">
        <f>2647</f>
        <v>2647</v>
      </c>
      <c r="H78" s="3">
        <f>3808</f>
        <v>3808</v>
      </c>
      <c r="I78" s="2">
        <f>SUM(H78)/F78</f>
        <v>181.33333333333334</v>
      </c>
      <c r="J78" s="1">
        <v>424</v>
      </c>
      <c r="K78" s="1">
        <v>607</v>
      </c>
      <c r="L78" s="1">
        <v>163</v>
      </c>
      <c r="M78" s="1">
        <v>224</v>
      </c>
      <c r="O78" s="4">
        <f>SUM(200-D60)*0.8</f>
        <v>56.535999999999994</v>
      </c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152.19999999999999</v>
      </c>
      <c r="F80" s="1">
        <f>69+3+3</f>
        <v>75</v>
      </c>
      <c r="G80" s="1">
        <f>10533+456+426</f>
        <v>11415</v>
      </c>
      <c r="H80" s="3">
        <f>12630+546+540</f>
        <v>13716</v>
      </c>
      <c r="I80" s="2">
        <f>SUM(H80)/F80</f>
        <v>182.88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153.74479166666666</v>
      </c>
      <c r="E81" s="10"/>
      <c r="F81" s="5">
        <f>SUM(F72:F80)</f>
        <v>384</v>
      </c>
      <c r="G81" s="5">
        <f>SUM(G72:G80)</f>
        <v>59038</v>
      </c>
      <c r="H81" s="10">
        <f>SUM(H72:H80)</f>
        <v>72565</v>
      </c>
      <c r="I81" s="8">
        <f>SUM(H81)/F81</f>
        <v>188.97135416666666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8">SUM(G85)/F85</f>
        <v>169.89473684210526</v>
      </c>
      <c r="E85" s="3">
        <f t="shared" ref="E85:E90" si="9">SUM(200-D85)*0.8</f>
        <v>24.084210526315793</v>
      </c>
      <c r="F85" s="1">
        <f>45+3+3+3+3</f>
        <v>57</v>
      </c>
      <c r="G85" s="1">
        <f>7614+528+498+480+564</f>
        <v>9684</v>
      </c>
      <c r="H85" s="3">
        <f>8745+603+570+555+639</f>
        <v>11112</v>
      </c>
      <c r="I85" s="2">
        <f t="shared" ref="I85:I90" si="10">SUM(H85)/F85</f>
        <v>194.94736842105263</v>
      </c>
      <c r="J85" s="1">
        <v>564</v>
      </c>
      <c r="K85" s="1">
        <v>639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8"/>
        <v>149.46153846153845</v>
      </c>
      <c r="E86" s="3">
        <f t="shared" si="9"/>
        <v>40.430769230769243</v>
      </c>
      <c r="F86" s="1">
        <f>75+3</f>
        <v>78</v>
      </c>
      <c r="G86" s="1">
        <f>11273+385</f>
        <v>11658</v>
      </c>
      <c r="H86" s="3">
        <f>14292+505</f>
        <v>14797</v>
      </c>
      <c r="I86" s="2">
        <f t="shared" si="10"/>
        <v>189.7051282051282</v>
      </c>
      <c r="J86" s="1">
        <v>385</v>
      </c>
      <c r="K86" s="1">
        <v>505</v>
      </c>
      <c r="L86" s="1">
        <v>134</v>
      </c>
      <c r="M86" s="1">
        <v>174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8"/>
        <v>164.41836734693877</v>
      </c>
      <c r="E87" s="3">
        <f t="shared" si="9"/>
        <v>28.46530612244899</v>
      </c>
      <c r="F87" s="1">
        <f>92+3+3</f>
        <v>98</v>
      </c>
      <c r="G87" s="1">
        <f>15135+489+489</f>
        <v>16113</v>
      </c>
      <c r="H87" s="3">
        <f>17788+573+576</f>
        <v>18937</v>
      </c>
      <c r="I87" s="2">
        <f t="shared" si="10"/>
        <v>193.23469387755102</v>
      </c>
      <c r="J87" s="1">
        <v>489</v>
      </c>
      <c r="K87" s="1">
        <v>576</v>
      </c>
      <c r="L87" s="1">
        <v>191</v>
      </c>
      <c r="M87" s="1">
        <v>220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170.47619047619048</v>
      </c>
      <c r="E88" s="3">
        <f>SUM(200-D88)*0.8</f>
        <v>23.619047619047617</v>
      </c>
      <c r="F88" s="1">
        <f>15+3+3</f>
        <v>21</v>
      </c>
      <c r="G88" s="1">
        <f>2527+488+565</f>
        <v>3580</v>
      </c>
      <c r="H88" s="3">
        <f>2887+563+643</f>
        <v>4093</v>
      </c>
      <c r="I88" s="2">
        <f t="shared" si="10"/>
        <v>194.9047619047619</v>
      </c>
      <c r="J88" s="1">
        <v>565</v>
      </c>
      <c r="K88" s="1">
        <v>643</v>
      </c>
      <c r="L88" s="1">
        <v>211</v>
      </c>
      <c r="M88" s="1">
        <v>237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8"/>
        <v>165.44444444444446</v>
      </c>
      <c r="E89" s="3">
        <f t="shared" si="9"/>
        <v>27.644444444444435</v>
      </c>
      <c r="F89" s="1">
        <f>108+3+3+3</f>
        <v>117</v>
      </c>
      <c r="G89" s="1">
        <f>17924+520+449+464</f>
        <v>19357</v>
      </c>
      <c r="H89" s="3">
        <f>20714+601+530+545</f>
        <v>22390</v>
      </c>
      <c r="I89" s="2">
        <f t="shared" si="10"/>
        <v>191.36752136752136</v>
      </c>
      <c r="J89" s="1">
        <v>520</v>
      </c>
      <c r="K89" s="1">
        <v>601</v>
      </c>
      <c r="L89" s="1">
        <v>183</v>
      </c>
      <c r="M89" s="1">
        <v>210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8"/>
        <v>161.59459459459458</v>
      </c>
      <c r="E90" s="3">
        <f t="shared" si="9"/>
        <v>30.724324324324336</v>
      </c>
      <c r="F90" s="1">
        <f>102+3+3+3</f>
        <v>111</v>
      </c>
      <c r="G90" s="1">
        <f>16645+474+421+397</f>
        <v>17937</v>
      </c>
      <c r="H90" s="3">
        <f>19745+561+511+487</f>
        <v>21304</v>
      </c>
      <c r="I90" s="2">
        <f t="shared" si="10"/>
        <v>191.92792792792793</v>
      </c>
      <c r="J90" s="1">
        <v>474</v>
      </c>
      <c r="K90" s="1">
        <v>561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8"/>
        <v>155.80000000000001</v>
      </c>
      <c r="F91" s="1">
        <f>7+3</f>
        <v>10</v>
      </c>
      <c r="G91" s="1">
        <f>1102+456</f>
        <v>1558</v>
      </c>
      <c r="H91" s="3">
        <f>1287+546</f>
        <v>1833</v>
      </c>
      <c r="I91" s="2" t="s">
        <v>224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162.3719512195122</v>
      </c>
      <c r="E93" s="10"/>
      <c r="F93" s="5">
        <f>SUM(F85:F91)</f>
        <v>492</v>
      </c>
      <c r="G93" s="5">
        <f>SUM(G85:G91)</f>
        <v>79887</v>
      </c>
      <c r="H93" s="10">
        <f>SUM(H85:H92)</f>
        <v>94466</v>
      </c>
      <c r="I93" s="8">
        <f>SUM(H93)/F93</f>
        <v>192.0040650406504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11">SUM(G96)/F96</f>
        <v>166.0595238095238</v>
      </c>
      <c r="E96" s="3">
        <f t="shared" ref="E96:E102" si="12">SUM(200-D96)*0.8</f>
        <v>27.152380952380966</v>
      </c>
      <c r="F96" s="1">
        <f>78+3+3</f>
        <v>84</v>
      </c>
      <c r="G96" s="1">
        <f>12867+638+444</f>
        <v>13949</v>
      </c>
      <c r="H96" s="3">
        <f>14961+722+522</f>
        <v>16205</v>
      </c>
      <c r="I96" s="2">
        <f>SUM(H96)/F96</f>
        <v>192.91666666666666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11"/>
        <v>161.50793650793651</v>
      </c>
      <c r="E97" s="3">
        <f t="shared" si="12"/>
        <v>30.793650793650798</v>
      </c>
      <c r="F97" s="1">
        <f>57+3+3</f>
        <v>63</v>
      </c>
      <c r="G97" s="1">
        <f>9344+411+420</f>
        <v>10175</v>
      </c>
      <c r="H97" s="3">
        <f>11063+498+510</f>
        <v>12071</v>
      </c>
      <c r="I97" s="2">
        <f>SUM(H97)/F97</f>
        <v>191.60317460317461</v>
      </c>
      <c r="J97" s="1">
        <v>420</v>
      </c>
      <c r="K97" s="1">
        <v>510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11"/>
        <v>173.78787878787878</v>
      </c>
      <c r="E98" s="3">
        <f t="shared" si="12"/>
        <v>20.969696969696976</v>
      </c>
      <c r="F98" s="1">
        <f>93+3+3</f>
        <v>99</v>
      </c>
      <c r="G98" s="1">
        <f>16353+425+427</f>
        <v>17205</v>
      </c>
      <c r="H98" s="3">
        <f>18132+482+487</f>
        <v>19101</v>
      </c>
      <c r="I98" s="2">
        <v>188.66</v>
      </c>
      <c r="J98" s="1">
        <v>425</v>
      </c>
      <c r="K98" s="1">
        <v>482</v>
      </c>
      <c r="L98" s="1">
        <v>171</v>
      </c>
      <c r="M98" s="1">
        <v>190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11"/>
        <v>166.03960396039605</v>
      </c>
      <c r="E99" s="3">
        <f t="shared" si="12"/>
        <v>27.16831683168316</v>
      </c>
      <c r="F99" s="1">
        <f>95+3+3</f>
        <v>101</v>
      </c>
      <c r="G99" s="1">
        <f>15808+455+507</f>
        <v>16770</v>
      </c>
      <c r="H99" s="3">
        <f>18146+536+589</f>
        <v>19271</v>
      </c>
      <c r="I99" s="2">
        <v>193.33</v>
      </c>
      <c r="J99" s="1">
        <v>507</v>
      </c>
      <c r="K99" s="1">
        <v>589</v>
      </c>
      <c r="L99" s="1">
        <v>177</v>
      </c>
      <c r="M99" s="1">
        <v>204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11"/>
        <v>179.57142857142858</v>
      </c>
      <c r="E100" s="3">
        <f t="shared" si="12"/>
        <v>16.342857142857135</v>
      </c>
      <c r="F100" s="1">
        <f>75+3+3+3</f>
        <v>84</v>
      </c>
      <c r="G100" s="1">
        <f>13400+573+521+590</f>
        <v>15084</v>
      </c>
      <c r="H100" s="3">
        <f>14615+624+572+641</f>
        <v>16452</v>
      </c>
      <c r="I100" s="2">
        <f>SUM(H100)/F100</f>
        <v>195.85714285714286</v>
      </c>
      <c r="J100" s="1">
        <v>590</v>
      </c>
      <c r="K100" s="1">
        <v>641</v>
      </c>
      <c r="L100" s="1">
        <v>235</v>
      </c>
      <c r="M100" s="1">
        <v>252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11"/>
        <v>170.44117647058823</v>
      </c>
      <c r="E101" s="3">
        <f t="shared" si="12"/>
        <v>23.647058823529417</v>
      </c>
      <c r="F101" s="1">
        <f>96+3+3</f>
        <v>102</v>
      </c>
      <c r="G101" s="1">
        <f>16556+389+440</f>
        <v>17385</v>
      </c>
      <c r="H101" s="3">
        <f>18690+455+509</f>
        <v>19654</v>
      </c>
      <c r="I101" s="2">
        <f>SUM(H101)/F101</f>
        <v>192.68627450980392</v>
      </c>
      <c r="J101" s="1">
        <v>440</v>
      </c>
      <c r="K101" s="1">
        <v>509</v>
      </c>
      <c r="L101" s="1">
        <v>151</v>
      </c>
      <c r="M101" s="1">
        <v>174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11"/>
        <v>159.24731182795699</v>
      </c>
      <c r="E102" s="3">
        <f t="shared" si="12"/>
        <v>32.602150537634408</v>
      </c>
      <c r="F102" s="1">
        <f>87+3+3</f>
        <v>93</v>
      </c>
      <c r="G102" s="1">
        <f>13886+465+459</f>
        <v>14810</v>
      </c>
      <c r="H102" s="3">
        <f>17228+561+558</f>
        <v>18347</v>
      </c>
      <c r="I102" s="2">
        <f>SUM(H102)/F102</f>
        <v>197.27956989247312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151.53846153846155</v>
      </c>
      <c r="F104" s="1">
        <f>10+3</f>
        <v>13</v>
      </c>
      <c r="G104" s="1">
        <f>1478+492</f>
        <v>1970</v>
      </c>
      <c r="H104" s="3">
        <f>1732+555</f>
        <v>2287</v>
      </c>
      <c r="I104" s="2">
        <f>SUM(H104)/F104</f>
        <v>175.92307692307693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4"/>
      <c r="D107" s="4"/>
      <c r="E107" s="5" t="s">
        <v>71</v>
      </c>
      <c r="F107" s="8">
        <f>SUM(G93)/F93</f>
        <v>162.3719512195122</v>
      </c>
      <c r="G107" s="10"/>
      <c r="H107" s="5">
        <f>SUM(F96:F103)</f>
        <v>626</v>
      </c>
      <c r="I107" s="5">
        <f>SUM(G96:G103)</f>
        <v>105378</v>
      </c>
      <c r="J107" s="10">
        <f>SUM(H96:H103)</f>
        <v>121101</v>
      </c>
      <c r="K107" s="2">
        <f>SUM(J107)/H107</f>
        <v>193.45207667731628</v>
      </c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>SUM(G112)/F112</f>
        <v>179.19354838709677</v>
      </c>
      <c r="E112" s="3">
        <f>SUM(200-D112)*0.8</f>
        <v>16.645161290322587</v>
      </c>
      <c r="F112" s="1">
        <f>81+3+3+3+3</f>
        <v>93</v>
      </c>
      <c r="G112" s="1">
        <f>14420+525+611+514+595</f>
        <v>16665</v>
      </c>
      <c r="H112" s="3">
        <f>16128+579+665+565+646</f>
        <v>18583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>SUM(G113)/F113</f>
        <v>166.10784313725489</v>
      </c>
      <c r="E113" s="3">
        <f>SUM(200-D113)*0.8</f>
        <v>27.113725490196089</v>
      </c>
      <c r="F113" s="1">
        <f>90+3+3+3+3</f>
        <v>102</v>
      </c>
      <c r="G113" s="1">
        <f>15027+498+447+472+499</f>
        <v>16943</v>
      </c>
      <c r="H113" s="3">
        <f>17521+602+525+553+580</f>
        <v>19781</v>
      </c>
      <c r="I113" s="2">
        <f>SUM(H113)/F113</f>
        <v>193.93137254901961</v>
      </c>
      <c r="J113" s="1">
        <v>499</v>
      </c>
      <c r="K113" s="1">
        <v>602</v>
      </c>
      <c r="L113" s="1">
        <v>205</v>
      </c>
      <c r="M113" s="1">
        <v>231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>SUM(G114)/F114</f>
        <v>165.48958333333334</v>
      </c>
      <c r="E114" s="3">
        <f>SUM(200-D114)*0.8</f>
        <v>27.608333333333327</v>
      </c>
      <c r="F114" s="1">
        <f>84+3+3+3+3</f>
        <v>96</v>
      </c>
      <c r="G114" s="1">
        <f>13807+485+530+536+529</f>
        <v>15887</v>
      </c>
      <c r="H114" s="3">
        <f>16372+572+617+620+613</f>
        <v>18794</v>
      </c>
      <c r="I114" s="2">
        <f>SUM(H114)/F114</f>
        <v>195.77083333333334</v>
      </c>
      <c r="J114" s="1">
        <v>536</v>
      </c>
      <c r="K114" s="1">
        <v>620</v>
      </c>
      <c r="L114" s="1">
        <v>214</v>
      </c>
      <c r="M114" s="1">
        <v>242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>SUM(G115)/F115</f>
        <v>188.91666666666666</v>
      </c>
      <c r="E115" s="3">
        <f>SUM(200-D115)*0.8</f>
        <v>8.8666666666666742</v>
      </c>
      <c r="F115" s="1">
        <f>75+3+3+3</f>
        <v>84</v>
      </c>
      <c r="G115" s="1">
        <f>14235+499+616+519</f>
        <v>15869</v>
      </c>
      <c r="H115" s="3">
        <f>14925+523+643+543</f>
        <v>16634</v>
      </c>
      <c r="I115" s="2">
        <f>SUM(H115)/F115</f>
        <v>198.02380952380952</v>
      </c>
      <c r="J115" s="1">
        <v>616</v>
      </c>
      <c r="K115" s="1">
        <v>643</v>
      </c>
      <c r="L115" s="1">
        <v>219</v>
      </c>
      <c r="M115" s="1">
        <v>228</v>
      </c>
    </row>
    <row r="116" spans="1:17" x14ac:dyDescent="0.35">
      <c r="A116" s="1" t="s">
        <v>15</v>
      </c>
      <c r="B116" s="1">
        <v>8</v>
      </c>
      <c r="C116" s="1" t="s">
        <v>142</v>
      </c>
      <c r="D116" s="2">
        <f>SUM(G116)/F116</f>
        <v>160.74074074074073</v>
      </c>
      <c r="E116" s="3">
        <f>SUM(200-D116)*0.8</f>
        <v>31.407407407407415</v>
      </c>
      <c r="F116" s="1">
        <f>24+3</f>
        <v>27</v>
      </c>
      <c r="G116" s="1">
        <f>3922+418</f>
        <v>4340</v>
      </c>
      <c r="H116" s="3">
        <f>4479+505</f>
        <v>4984</v>
      </c>
      <c r="I116" s="2">
        <f>SUM(H116)/F116</f>
        <v>184.59259259259258</v>
      </c>
      <c r="J116" s="1">
        <v>418</v>
      </c>
      <c r="K116" s="1">
        <v>505</v>
      </c>
      <c r="L116" s="1">
        <v>149</v>
      </c>
      <c r="M116" s="1">
        <v>178</v>
      </c>
    </row>
    <row r="117" spans="1:17" x14ac:dyDescent="0.35">
      <c r="C117" s="4"/>
      <c r="D117" s="4"/>
      <c r="E117" s="4"/>
      <c r="F117" s="4"/>
      <c r="G117" s="4"/>
      <c r="H117" s="4"/>
      <c r="I117" s="4"/>
    </row>
    <row r="119" spans="1:17" x14ac:dyDescent="0.35">
      <c r="A119" s="4"/>
      <c r="B119" s="4"/>
      <c r="C119" s="1" t="s">
        <v>57</v>
      </c>
      <c r="D119" s="2">
        <f>SUM(G119)/F119</f>
        <v>159</v>
      </c>
      <c r="F119" s="1">
        <f>6</f>
        <v>6</v>
      </c>
      <c r="G119" s="1">
        <f>954</f>
        <v>954</v>
      </c>
      <c r="H119" s="3">
        <f>1104</f>
        <v>1104</v>
      </c>
      <c r="I119" s="2">
        <f>SUM(H119)/F119</f>
        <v>184</v>
      </c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130" t="s">
        <v>71</v>
      </c>
      <c r="D120" s="131">
        <f ca="1">SUM(G120)/F120</f>
        <v>0.86714658320292126</v>
      </c>
      <c r="E120" s="132"/>
      <c r="F120" s="130">
        <f>SUM(F112:F119)</f>
        <v>408</v>
      </c>
      <c r="G120" s="130">
        <f ca="1">SUM(G112:G133)</f>
        <v>83116</v>
      </c>
      <c r="H120" s="132">
        <f ca="1">SUM(H112:H133)</f>
        <v>94404</v>
      </c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3" x14ac:dyDescent="0.35">
      <c r="A129" s="1" t="s">
        <v>15</v>
      </c>
      <c r="B129" s="1">
        <v>3</v>
      </c>
      <c r="C129" s="11" t="s">
        <v>17</v>
      </c>
      <c r="D129" s="2">
        <f t="shared" ref="D129:D134" si="13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3" x14ac:dyDescent="0.35">
      <c r="A130" s="1" t="s">
        <v>15</v>
      </c>
      <c r="B130" s="1">
        <v>7</v>
      </c>
      <c r="C130" s="11" t="s">
        <v>137</v>
      </c>
      <c r="D130" s="2">
        <f t="shared" si="13"/>
        <v>166</v>
      </c>
      <c r="E130" s="3">
        <f t="shared" ref="E130:E142" si="14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5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3" x14ac:dyDescent="0.35">
      <c r="A131" s="1" t="s">
        <v>15</v>
      </c>
      <c r="B131" s="1">
        <v>8</v>
      </c>
      <c r="C131" s="11" t="s">
        <v>138</v>
      </c>
      <c r="D131" s="2">
        <f t="shared" si="13"/>
        <v>161.66666666666666</v>
      </c>
      <c r="E131" s="3">
        <f t="shared" si="14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5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3" x14ac:dyDescent="0.35">
      <c r="A132" s="1" t="s">
        <v>15</v>
      </c>
      <c r="B132" s="1">
        <v>4</v>
      </c>
      <c r="C132" s="1" t="s">
        <v>75</v>
      </c>
      <c r="D132" s="2">
        <f t="shared" si="13"/>
        <v>171.85333333333332</v>
      </c>
      <c r="E132" s="3">
        <f t="shared" si="14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5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3" x14ac:dyDescent="0.35">
      <c r="A133" s="1" t="s">
        <v>15</v>
      </c>
      <c r="B133" s="1">
        <v>5</v>
      </c>
      <c r="C133" s="1" t="s">
        <v>133</v>
      </c>
      <c r="D133" s="2">
        <f t="shared" si="13"/>
        <v>172.43333333333334</v>
      </c>
      <c r="E133" s="3">
        <f t="shared" si="14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5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4" spans="1:13" x14ac:dyDescent="0.35">
      <c r="A134" s="1" t="s">
        <v>13</v>
      </c>
      <c r="B134" s="1">
        <v>6</v>
      </c>
      <c r="C134" s="1" t="s">
        <v>140</v>
      </c>
      <c r="D134" s="2">
        <f t="shared" si="13"/>
        <v>163.36666666666667</v>
      </c>
      <c r="E134" s="3">
        <f t="shared" si="14"/>
        <v>29.306666666666661</v>
      </c>
      <c r="F134" s="1">
        <f>3+3+3+3+3+3+3+3+3+3</f>
        <v>30</v>
      </c>
      <c r="G134" s="1">
        <f>479+552+453+456+467+468+497+486+470+573</f>
        <v>4901</v>
      </c>
      <c r="H134" s="3">
        <f>575+648+519+540+557+564+593+579+563+669</f>
        <v>5807</v>
      </c>
      <c r="I134" s="2">
        <f t="shared" si="15"/>
        <v>193.56666666666666</v>
      </c>
      <c r="J134" s="1">
        <v>573</v>
      </c>
      <c r="K134" s="1">
        <v>669</v>
      </c>
      <c r="L134" s="1">
        <v>212</v>
      </c>
      <c r="M134" s="1">
        <v>244</v>
      </c>
    </row>
    <row r="135" spans="1:13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4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5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3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5">
      <c r="A137" s="1" t="s">
        <v>15</v>
      </c>
      <c r="B137" s="1">
        <v>5</v>
      </c>
      <c r="C137" s="4" t="s">
        <v>34</v>
      </c>
      <c r="D137" s="2">
        <f t="shared" ref="D137:D142" si="16">SUM(G137)/F137</f>
        <v>137</v>
      </c>
      <c r="E137" s="3">
        <f t="shared" si="14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5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3" x14ac:dyDescent="0.35">
      <c r="A138" s="1" t="s">
        <v>13</v>
      </c>
      <c r="B138" s="1">
        <v>6</v>
      </c>
      <c r="C138" s="4" t="s">
        <v>49</v>
      </c>
      <c r="D138" s="2">
        <f t="shared" si="16"/>
        <v>147.4</v>
      </c>
      <c r="E138" s="3">
        <f t="shared" si="14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5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3" x14ac:dyDescent="0.35">
      <c r="A139" s="1" t="s">
        <v>13</v>
      </c>
      <c r="B139" s="1">
        <v>3</v>
      </c>
      <c r="C139" s="4" t="s">
        <v>37</v>
      </c>
      <c r="D139" s="2">
        <f t="shared" si="16"/>
        <v>167.64285714285714</v>
      </c>
      <c r="E139" s="3">
        <f t="shared" si="14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5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3" x14ac:dyDescent="0.35">
      <c r="A140" s="1" t="s">
        <v>15</v>
      </c>
      <c r="B140" s="1">
        <v>5</v>
      </c>
      <c r="C140" s="4" t="s">
        <v>39</v>
      </c>
      <c r="D140" s="2">
        <f t="shared" si="16"/>
        <v>163.4</v>
      </c>
      <c r="E140" s="3">
        <f t="shared" si="14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5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3" x14ac:dyDescent="0.35">
      <c r="A141" s="1" t="s">
        <v>15</v>
      </c>
      <c r="B141" s="1">
        <v>6</v>
      </c>
      <c r="C141" s="1" t="s">
        <v>139</v>
      </c>
      <c r="D141" s="2">
        <f t="shared" si="16"/>
        <v>166.54166666666666</v>
      </c>
      <c r="E141" s="3">
        <f t="shared" si="14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5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3" x14ac:dyDescent="0.35">
      <c r="A142" s="1" t="s">
        <v>15</v>
      </c>
      <c r="B142" s="1">
        <v>4</v>
      </c>
      <c r="C142" s="4" t="s">
        <v>38</v>
      </c>
      <c r="D142" s="2">
        <f t="shared" si="16"/>
        <v>166.38235294117646</v>
      </c>
      <c r="E142" s="3">
        <f t="shared" si="14"/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4</v>
      </c>
      <c r="F3" s="20" t="s">
        <v>78</v>
      </c>
      <c r="G3" s="21" t="s">
        <v>79</v>
      </c>
      <c r="H3" s="22">
        <v>46288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7+10+10+8</f>
        <v>35</v>
      </c>
      <c r="E5" s="29">
        <f>2007+2006+2138+2142</f>
        <v>8293</v>
      </c>
      <c r="F5" s="29">
        <f>2241+2312+2381+2382</f>
        <v>9316</v>
      </c>
      <c r="G5" s="30">
        <f t="shared" ref="G5:G14" si="0">F5/I5</f>
        <v>194.08333333333334</v>
      </c>
      <c r="H5" s="30">
        <f t="shared" ref="H5:H14" si="1">E5/I5</f>
        <v>172.77083333333334</v>
      </c>
      <c r="I5" s="27">
        <f>SUM(E3)*12</f>
        <v>48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207</v>
      </c>
      <c r="D6" s="29">
        <f>7+7+8+8</f>
        <v>30</v>
      </c>
      <c r="E6" s="29">
        <f>2280+2280+2280+2280</f>
        <v>9120</v>
      </c>
      <c r="F6" s="29">
        <f>2280+2280+2280+2280</f>
        <v>9120</v>
      </c>
      <c r="G6" s="30">
        <f t="shared" si="0"/>
        <v>190</v>
      </c>
      <c r="H6" s="30">
        <f t="shared" si="1"/>
        <v>190</v>
      </c>
      <c r="I6" s="27">
        <f t="shared" ref="I6:I14" si="2">SUM(I5)</f>
        <v>48</v>
      </c>
    </row>
    <row r="7" spans="2:16" ht="21.75" thickBot="1" x14ac:dyDescent="0.3">
      <c r="B7" s="28">
        <v>3</v>
      </c>
      <c r="C7" s="29" t="s">
        <v>30</v>
      </c>
      <c r="D7" s="29">
        <f>9+3+7+8</f>
        <v>27</v>
      </c>
      <c r="E7" s="29">
        <f>1957+1831+1889+2120</f>
        <v>7797</v>
      </c>
      <c r="F7" s="29">
        <f>2230+2239+2213+2399</f>
        <v>9081</v>
      </c>
      <c r="G7" s="30">
        <f t="shared" si="0"/>
        <v>189.1875</v>
      </c>
      <c r="H7" s="30">
        <f t="shared" si="1"/>
        <v>162.4375</v>
      </c>
      <c r="I7" s="27">
        <f t="shared" si="2"/>
        <v>48</v>
      </c>
    </row>
    <row r="8" spans="2:16" ht="21.75" thickBot="1" x14ac:dyDescent="0.3">
      <c r="B8" s="28">
        <v>4</v>
      </c>
      <c r="C8" s="29" t="s">
        <v>144</v>
      </c>
      <c r="D8" s="29">
        <f>8+8+4+5</f>
        <v>25</v>
      </c>
      <c r="E8" s="29">
        <f>1765+2252+1694+2222</f>
        <v>7933</v>
      </c>
      <c r="F8" s="29">
        <f>2200+2306+2112+2276</f>
        <v>8894</v>
      </c>
      <c r="G8" s="30">
        <f t="shared" si="0"/>
        <v>185.29166666666666</v>
      </c>
      <c r="H8" s="30">
        <f t="shared" si="1"/>
        <v>165.27083333333334</v>
      </c>
      <c r="I8" s="27">
        <f t="shared" si="2"/>
        <v>48</v>
      </c>
    </row>
    <row r="9" spans="2:16" ht="21.75" thickBot="1" x14ac:dyDescent="0.3">
      <c r="B9" s="34">
        <v>5</v>
      </c>
      <c r="C9" s="29" t="s">
        <v>51</v>
      </c>
      <c r="D9" s="29">
        <f>7+6+5+6</f>
        <v>24</v>
      </c>
      <c r="E9" s="29">
        <f>1979+2004+1711+1973</f>
        <v>7667</v>
      </c>
      <c r="F9" s="29">
        <f>2300+2325+2077+2306</f>
        <v>9008</v>
      </c>
      <c r="G9" s="30">
        <f t="shared" si="0"/>
        <v>187.66666666666666</v>
      </c>
      <c r="H9" s="30">
        <f t="shared" si="1"/>
        <v>159.72916666666666</v>
      </c>
      <c r="I9" s="27">
        <f t="shared" si="2"/>
        <v>48</v>
      </c>
    </row>
    <row r="10" spans="2:16" ht="21.75" thickBot="1" x14ac:dyDescent="0.3">
      <c r="B10" s="28">
        <v>6</v>
      </c>
      <c r="C10" s="29" t="s">
        <v>88</v>
      </c>
      <c r="D10" s="29">
        <f>7+5+6+3</f>
        <v>21</v>
      </c>
      <c r="E10" s="29">
        <f>2101+1945+1928+1862</f>
        <v>7836</v>
      </c>
      <c r="F10" s="29">
        <f>2404+2230+2167+2183</f>
        <v>8984</v>
      </c>
      <c r="G10" s="30">
        <f t="shared" si="0"/>
        <v>187.16666666666666</v>
      </c>
      <c r="H10" s="30">
        <f t="shared" si="1"/>
        <v>163.25</v>
      </c>
      <c r="I10" s="27">
        <f t="shared" si="2"/>
        <v>48</v>
      </c>
    </row>
    <row r="11" spans="2:16" ht="21.75" thickBot="1" x14ac:dyDescent="0.3">
      <c r="B11" s="28">
        <v>7</v>
      </c>
      <c r="C11" s="29" t="s">
        <v>206</v>
      </c>
      <c r="D11" s="29">
        <f>4+8+3+6</f>
        <v>21</v>
      </c>
      <c r="E11" s="29">
        <f>1522+1553+1303+1517</f>
        <v>5895</v>
      </c>
      <c r="F11" s="29">
        <f>2162+2177+1933+2156</f>
        <v>8428</v>
      </c>
      <c r="G11" s="30">
        <f t="shared" si="0"/>
        <v>175.58333333333334</v>
      </c>
      <c r="H11" s="30">
        <f t="shared" si="1"/>
        <v>122.8125</v>
      </c>
      <c r="I11" s="27">
        <f t="shared" si="2"/>
        <v>48</v>
      </c>
    </row>
    <row r="12" spans="2:16" ht="21.75" thickBot="1" x14ac:dyDescent="0.3">
      <c r="B12" s="28">
        <v>8</v>
      </c>
      <c r="C12" s="29" t="s">
        <v>58</v>
      </c>
      <c r="D12" s="29">
        <f>5+2+4+9</f>
        <v>20</v>
      </c>
      <c r="E12" s="29">
        <f>1939+1837+1851+2029</f>
        <v>7656</v>
      </c>
      <c r="F12" s="29">
        <f>2263+2125+2139+2293</f>
        <v>8820</v>
      </c>
      <c r="G12" s="30">
        <f t="shared" si="0"/>
        <v>183.75</v>
      </c>
      <c r="H12" s="30">
        <f t="shared" si="1"/>
        <v>159.5</v>
      </c>
      <c r="I12" s="27">
        <f t="shared" si="2"/>
        <v>48</v>
      </c>
    </row>
    <row r="13" spans="2:16" ht="21.75" thickBot="1" x14ac:dyDescent="0.3">
      <c r="B13" s="28">
        <v>9</v>
      </c>
      <c r="C13" s="29" t="s">
        <v>87</v>
      </c>
      <c r="D13" s="29">
        <f>1+7+4+4</f>
        <v>16</v>
      </c>
      <c r="E13" s="29">
        <f>1639+1812+1793+1695</f>
        <v>6939</v>
      </c>
      <c r="F13" s="29">
        <f>2035+2223+2207+2103</f>
        <v>8568</v>
      </c>
      <c r="G13" s="30">
        <f t="shared" si="0"/>
        <v>178.5</v>
      </c>
      <c r="H13" s="30">
        <f t="shared" si="1"/>
        <v>144.5625</v>
      </c>
      <c r="I13" s="27">
        <f t="shared" si="2"/>
        <v>48</v>
      </c>
    </row>
    <row r="14" spans="2:16" ht="21.75" thickBot="1" x14ac:dyDescent="0.3">
      <c r="B14" s="28">
        <v>10</v>
      </c>
      <c r="C14" s="29" t="s">
        <v>23</v>
      </c>
      <c r="D14" s="29">
        <f>1+6+2+3</f>
        <v>12</v>
      </c>
      <c r="E14" s="29">
        <f>1582+2006+1808+1901</f>
        <v>7297</v>
      </c>
      <c r="F14" s="29">
        <f>1987+2309+2111+2210</f>
        <v>8617</v>
      </c>
      <c r="G14" s="30">
        <f t="shared" si="0"/>
        <v>179.52083333333334</v>
      </c>
      <c r="H14" s="30">
        <f t="shared" si="1"/>
        <v>152.02083333333334</v>
      </c>
      <c r="I14" s="27">
        <f t="shared" si="2"/>
        <v>48</v>
      </c>
    </row>
    <row r="15" spans="2:16" ht="21.75" thickBot="1" x14ac:dyDescent="0.3">
      <c r="B15" s="28"/>
      <c r="C15" s="25" t="s">
        <v>89</v>
      </c>
      <c r="D15" s="29"/>
      <c r="E15" s="26">
        <f>SUM(E3:E14)</f>
        <v>76437</v>
      </c>
      <c r="F15" s="26">
        <f>SUM(F3:F14)</f>
        <v>88836</v>
      </c>
      <c r="G15" s="30" t="e">
        <f>F16/I16</f>
        <v>#DIV/0!</v>
      </c>
      <c r="H15" s="30" t="e">
        <f t="shared" ref="H15" si="3"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480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4</v>
      </c>
      <c r="F19" s="20" t="s">
        <v>78</v>
      </c>
      <c r="G19" s="21" t="s">
        <v>79</v>
      </c>
      <c r="H19" s="22">
        <f>SUM(H3)</f>
        <v>46288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58</v>
      </c>
      <c r="D21" s="29">
        <v>9</v>
      </c>
      <c r="E21" s="29">
        <v>2029</v>
      </c>
      <c r="F21" s="29">
        <v>2293</v>
      </c>
      <c r="G21" s="30">
        <f t="shared" ref="G21:G30" si="4">F21/I21</f>
        <v>191.08333333333334</v>
      </c>
      <c r="H21" s="30">
        <f t="shared" ref="H21:H30" si="5">E21/I21</f>
        <v>169.08333333333334</v>
      </c>
      <c r="I21" s="27">
        <v>12</v>
      </c>
    </row>
    <row r="22" spans="2:17" ht="21.75" thickBot="1" x14ac:dyDescent="0.3">
      <c r="B22" s="28">
        <v>2</v>
      </c>
      <c r="C22" s="29" t="s">
        <v>30</v>
      </c>
      <c r="D22" s="29">
        <v>8</v>
      </c>
      <c r="E22" s="29">
        <v>2120</v>
      </c>
      <c r="F22" s="29">
        <v>2399</v>
      </c>
      <c r="G22" s="30">
        <f t="shared" si="4"/>
        <v>199.91666666666666</v>
      </c>
      <c r="H22" s="30">
        <f t="shared" si="5"/>
        <v>176.66666666666666</v>
      </c>
      <c r="I22" s="27">
        <v>12</v>
      </c>
    </row>
    <row r="23" spans="2:17" ht="21.75" thickBot="1" x14ac:dyDescent="0.3">
      <c r="B23" s="28">
        <v>3</v>
      </c>
      <c r="C23" s="29" t="s">
        <v>204</v>
      </c>
      <c r="D23" s="29">
        <v>8</v>
      </c>
      <c r="E23" s="29">
        <v>2142</v>
      </c>
      <c r="F23" s="29">
        <v>2382</v>
      </c>
      <c r="G23" s="30">
        <f t="shared" si="4"/>
        <v>198.5</v>
      </c>
      <c r="H23" s="30">
        <f t="shared" si="5"/>
        <v>178.5</v>
      </c>
      <c r="I23" s="27">
        <v>12</v>
      </c>
    </row>
    <row r="24" spans="2:17" ht="21.75" thickBot="1" x14ac:dyDescent="0.3">
      <c r="B24" s="28">
        <v>4</v>
      </c>
      <c r="C24" s="29" t="s">
        <v>207</v>
      </c>
      <c r="D24" s="29">
        <v>8</v>
      </c>
      <c r="E24" s="29">
        <v>2280</v>
      </c>
      <c r="F24" s="29">
        <v>2280</v>
      </c>
      <c r="G24" s="30">
        <f t="shared" si="4"/>
        <v>190</v>
      </c>
      <c r="H24" s="30">
        <f t="shared" si="5"/>
        <v>190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51</v>
      </c>
      <c r="D25" s="29">
        <v>6</v>
      </c>
      <c r="E25" s="29">
        <v>1973</v>
      </c>
      <c r="F25" s="29">
        <v>2306</v>
      </c>
      <c r="G25" s="30">
        <f t="shared" si="4"/>
        <v>192.16666666666666</v>
      </c>
      <c r="H25" s="30">
        <f t="shared" si="5"/>
        <v>164.41666666666666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206</v>
      </c>
      <c r="D26" s="29">
        <v>6</v>
      </c>
      <c r="E26" s="29">
        <v>1517</v>
      </c>
      <c r="F26" s="29">
        <v>2156</v>
      </c>
      <c r="G26" s="30">
        <f t="shared" si="4"/>
        <v>179.66666666666666</v>
      </c>
      <c r="H26" s="30">
        <f t="shared" si="5"/>
        <v>126.41666666666667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144</v>
      </c>
      <c r="D27" s="29">
        <v>5</v>
      </c>
      <c r="E27" s="29">
        <v>2222</v>
      </c>
      <c r="F27" s="29">
        <v>2276</v>
      </c>
      <c r="G27" s="30">
        <f t="shared" si="4"/>
        <v>189.66666666666666</v>
      </c>
      <c r="H27" s="30">
        <f t="shared" si="5"/>
        <v>185.16666666666666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91</v>
      </c>
      <c r="D28" s="29">
        <v>4</v>
      </c>
      <c r="E28" s="29">
        <v>1695</v>
      </c>
      <c r="F28" s="29">
        <v>2103</v>
      </c>
      <c r="G28" s="30">
        <f t="shared" si="4"/>
        <v>175.25</v>
      </c>
      <c r="H28" s="30">
        <f t="shared" si="5"/>
        <v>141.25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23</v>
      </c>
      <c r="D29" s="29">
        <v>3</v>
      </c>
      <c r="E29" s="29">
        <v>1901</v>
      </c>
      <c r="F29" s="29">
        <v>2210</v>
      </c>
      <c r="G29" s="30">
        <f t="shared" si="4"/>
        <v>184.16666666666666</v>
      </c>
      <c r="H29" s="30">
        <f t="shared" si="5"/>
        <v>158.41666666666666</v>
      </c>
      <c r="I29" s="27">
        <v>12</v>
      </c>
    </row>
    <row r="30" spans="2:17" ht="21.75" thickBot="1" x14ac:dyDescent="0.3">
      <c r="B30" s="34">
        <v>10</v>
      </c>
      <c r="C30" s="29" t="s">
        <v>88</v>
      </c>
      <c r="D30" s="29">
        <v>3</v>
      </c>
      <c r="E30" s="29">
        <v>1862</v>
      </c>
      <c r="F30" s="29">
        <v>2183</v>
      </c>
      <c r="G30" s="30">
        <f t="shared" si="4"/>
        <v>181.91666666666666</v>
      </c>
      <c r="H30" s="30">
        <f t="shared" si="5"/>
        <v>155.16666666666666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19741</v>
      </c>
      <c r="F33" s="38">
        <f>SUM(F21:F32)</f>
        <v>22588</v>
      </c>
      <c r="G33" s="30">
        <f>F33/I33</f>
        <v>188.23333333333332</v>
      </c>
      <c r="H33" s="30">
        <f>E33/I33</f>
        <v>164.50833333333333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3"/>
  <sheetViews>
    <sheetView topLeftCell="A103" workbookViewId="0">
      <selection activeCell="A103" sqref="A1:XFD1048576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5</v>
      </c>
      <c r="F2" s="5" t="s">
        <v>1</v>
      </c>
      <c r="G2" s="7">
        <v>46295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148.13333333333333</v>
      </c>
      <c r="E5" s="3">
        <f t="shared" ref="E5:E10" si="0">SUM(200-D5)*0.8</f>
        <v>41.493333333333339</v>
      </c>
      <c r="F5" s="1">
        <f>3+3+3+3+3</f>
        <v>15</v>
      </c>
      <c r="G5" s="1">
        <f>488+461+433+444+396</f>
        <v>2222</v>
      </c>
      <c r="H5" s="3">
        <f>584+557+517+531+483</f>
        <v>2672</v>
      </c>
      <c r="I5" s="2">
        <f>SUM(H5)/F5</f>
        <v>178.13333333333333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162.91666666666666</v>
      </c>
      <c r="E6" s="3">
        <f t="shared" si="0"/>
        <v>29.666666666666675</v>
      </c>
      <c r="F6" s="1">
        <f>3+3+3+3</f>
        <v>12</v>
      </c>
      <c r="G6" s="1">
        <f>518+489+474+474</f>
        <v>1955</v>
      </c>
      <c r="H6" s="3">
        <f>569+543+528+528</f>
        <v>2168</v>
      </c>
      <c r="I6" s="2">
        <f>SUM(H6)/F6</f>
        <v>180.66666666666666</v>
      </c>
      <c r="J6" s="1">
        <v>518</v>
      </c>
      <c r="K6" s="1">
        <v>569</v>
      </c>
      <c r="L6" s="1">
        <v>217</v>
      </c>
      <c r="M6" s="1">
        <v>234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132.19999999999999</v>
      </c>
      <c r="E8" s="3">
        <f t="shared" si="0"/>
        <v>54.240000000000009</v>
      </c>
      <c r="F8" s="1">
        <f>3+3+3+3+3</f>
        <v>15</v>
      </c>
      <c r="G8" s="1">
        <f>403+401+430+430+319</f>
        <v>1983</v>
      </c>
      <c r="H8" s="3">
        <f>511+512+544+544+433</f>
        <v>2544</v>
      </c>
      <c r="I8" s="2">
        <f>SUM(H8)/F8</f>
        <v>169.6</v>
      </c>
      <c r="J8" s="1">
        <v>430</v>
      </c>
      <c r="K8" s="1">
        <v>544</v>
      </c>
      <c r="L8" s="1">
        <v>175</v>
      </c>
      <c r="M8" s="1">
        <v>213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176</v>
      </c>
      <c r="E9" s="3">
        <f t="shared" si="0"/>
        <v>19.200000000000003</v>
      </c>
      <c r="F9" s="1">
        <f>3+3+3+3</f>
        <v>12</v>
      </c>
      <c r="G9" s="1">
        <f>568+565+536+443</f>
        <v>2112</v>
      </c>
      <c r="H9" s="3">
        <f>595+592+563+470</f>
        <v>2220</v>
      </c>
      <c r="I9" s="2">
        <f>SUM(H9)/F9</f>
        <v>185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192.66666666666666</v>
      </c>
      <c r="E10" s="3">
        <f t="shared" si="0"/>
        <v>5.8666666666666742</v>
      </c>
      <c r="F10" s="1">
        <f>3+3</f>
        <v>6</v>
      </c>
      <c r="G10" s="1">
        <f>642+514</f>
        <v>1156</v>
      </c>
      <c r="H10" s="3">
        <f>714+580</f>
        <v>1294</v>
      </c>
      <c r="I10" s="2">
        <f>SUM(H10)/F10</f>
        <v>215.66666666666666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 t="e">
        <f>SUM(G11)/F11</f>
        <v>#VALUE!</v>
      </c>
      <c r="F11" s="1" t="s">
        <v>230</v>
      </c>
      <c r="G11" s="1" t="s">
        <v>230</v>
      </c>
      <c r="H11" s="3" t="s">
        <v>230</v>
      </c>
      <c r="I11" s="2" t="e">
        <f>SUM(H11)/F11</f>
        <v>#VALUE!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157.13333333333333</v>
      </c>
      <c r="E13" s="10"/>
      <c r="F13" s="5">
        <f>SUM(F5:F12)</f>
        <v>60</v>
      </c>
      <c r="G13" s="15">
        <f>SUM(G5:G12)</f>
        <v>9428</v>
      </c>
      <c r="H13" s="10">
        <f>SUM(H5:H12)</f>
        <v>10898</v>
      </c>
      <c r="I13" s="8">
        <f>SUM(H13)/F13</f>
        <v>181.63333333333333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2" si="1">SUM(G17)/F17</f>
        <v>172.46666666666667</v>
      </c>
      <c r="E17" s="3">
        <f t="shared" ref="E17:E22" si="2">SUM(200-D17)*0.8</f>
        <v>22.026666666666667</v>
      </c>
      <c r="F17" s="1">
        <f>3+3+3+3+3</f>
        <v>15</v>
      </c>
      <c r="G17" s="1">
        <f>524+546+459+506+552</f>
        <v>2587</v>
      </c>
      <c r="H17" s="3">
        <f>560+585+498+548+594</f>
        <v>2785</v>
      </c>
      <c r="I17" s="2">
        <v>192.66</v>
      </c>
      <c r="J17" s="1">
        <v>552</v>
      </c>
      <c r="K17" s="1">
        <v>594</v>
      </c>
      <c r="L17" s="1">
        <v>199</v>
      </c>
      <c r="M17" s="1">
        <v>212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127.5</v>
      </c>
      <c r="E18" s="3">
        <f t="shared" si="2"/>
        <v>58</v>
      </c>
      <c r="F18" s="1">
        <f>3+3</f>
        <v>6</v>
      </c>
      <c r="G18" s="1">
        <f>341+424</f>
        <v>765</v>
      </c>
      <c r="H18" s="3">
        <f>458+547</f>
        <v>1005</v>
      </c>
      <c r="I18" s="2">
        <v>192.9111111111111</v>
      </c>
      <c r="J18" s="1">
        <v>424</v>
      </c>
      <c r="K18" s="1">
        <v>547</v>
      </c>
      <c r="L18" s="1">
        <v>165</v>
      </c>
      <c r="M18" s="1">
        <v>206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174.22222222222223</v>
      </c>
      <c r="E19" s="3">
        <f t="shared" si="2"/>
        <v>20.62222222222222</v>
      </c>
      <c r="F19" s="1">
        <f>3+3+3</f>
        <v>9</v>
      </c>
      <c r="G19" s="1">
        <f>538+491+539</f>
        <v>1568</v>
      </c>
      <c r="H19" s="3">
        <f>613+563+614</f>
        <v>1790</v>
      </c>
      <c r="I19" s="2">
        <f t="shared" ref="I19:I24" si="3">SUM(H19)/F19</f>
        <v>198.88888888888889</v>
      </c>
      <c r="J19" s="1">
        <v>539</v>
      </c>
      <c r="K19" s="1">
        <v>614</v>
      </c>
      <c r="L19" s="1">
        <v>184</v>
      </c>
      <c r="M19" s="1">
        <v>209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125.75</v>
      </c>
      <c r="E20" s="3">
        <f t="shared" si="2"/>
        <v>59.400000000000006</v>
      </c>
      <c r="F20" s="1">
        <f>3+3+3+3</f>
        <v>12</v>
      </c>
      <c r="G20" s="1">
        <f>304+428+363+414</f>
        <v>1509</v>
      </c>
      <c r="H20" s="3">
        <f>436+566+501+552</f>
        <v>2055</v>
      </c>
      <c r="I20" s="2">
        <f t="shared" si="3"/>
        <v>171.25</v>
      </c>
      <c r="J20" s="1">
        <v>428</v>
      </c>
      <c r="K20" s="1">
        <v>566</v>
      </c>
      <c r="L20" s="1">
        <v>154</v>
      </c>
      <c r="M20" s="1">
        <v>200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137.66666666666666</v>
      </c>
      <c r="E21" s="3">
        <f t="shared" si="2"/>
        <v>49.866666666666674</v>
      </c>
      <c r="F21" s="1">
        <f>3</f>
        <v>3</v>
      </c>
      <c r="G21" s="1">
        <f>413</f>
        <v>413</v>
      </c>
      <c r="H21" s="3">
        <f>533</f>
        <v>533</v>
      </c>
      <c r="I21" s="2">
        <f t="shared" si="3"/>
        <v>177.66666666666666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160.83333333333334</v>
      </c>
      <c r="E22" s="3">
        <f t="shared" si="2"/>
        <v>31.333333333333329</v>
      </c>
      <c r="F22" s="1">
        <f>3+3+3+3</f>
        <v>12</v>
      </c>
      <c r="G22" s="1">
        <f>494+495+441+500</f>
        <v>1930</v>
      </c>
      <c r="H22" s="3">
        <f>545+549+495+554</f>
        <v>2143</v>
      </c>
      <c r="I22" s="2">
        <f t="shared" si="3"/>
        <v>178.58333333333334</v>
      </c>
      <c r="J22" s="1">
        <v>500</v>
      </c>
      <c r="K22" s="1">
        <v>554</v>
      </c>
      <c r="L22" s="1">
        <v>230</v>
      </c>
      <c r="M22" s="1">
        <v>248</v>
      </c>
    </row>
    <row r="23" spans="1:17" x14ac:dyDescent="0.35">
      <c r="A23" s="1" t="s">
        <v>15</v>
      </c>
      <c r="B23" s="1">
        <v>7</v>
      </c>
      <c r="C23" s="4" t="s">
        <v>229</v>
      </c>
      <c r="D23" s="1">
        <f>SUM(G23)/F23</f>
        <v>161</v>
      </c>
      <c r="E23" s="155">
        <f>SUM(200-D23)*0.8</f>
        <v>31.200000000000003</v>
      </c>
      <c r="F23" s="1">
        <f>3</f>
        <v>3</v>
      </c>
      <c r="G23" s="1">
        <f>483</f>
        <v>483</v>
      </c>
      <c r="H23" s="1">
        <f>576</f>
        <v>576</v>
      </c>
      <c r="I23" s="1">
        <f t="shared" si="3"/>
        <v>192</v>
      </c>
      <c r="J23" s="1">
        <v>483</v>
      </c>
      <c r="K23" s="1">
        <v>576</v>
      </c>
      <c r="L23" s="1">
        <v>177</v>
      </c>
      <c r="M23" s="1">
        <v>208</v>
      </c>
    </row>
    <row r="24" spans="1:17" x14ac:dyDescent="0.35">
      <c r="C24" s="4" t="s">
        <v>21</v>
      </c>
      <c r="D24" s="2" t="e">
        <f>SUM(G24)/F24</f>
        <v>#VALUE!</v>
      </c>
      <c r="F24" s="1" t="s">
        <v>230</v>
      </c>
      <c r="G24" s="1" t="s">
        <v>230</v>
      </c>
      <c r="H24" s="3" t="s">
        <v>230</v>
      </c>
      <c r="I24" s="2" t="e">
        <f t="shared" si="3"/>
        <v>#VALUE!</v>
      </c>
    </row>
    <row r="25" spans="1:17" x14ac:dyDescent="0.35">
      <c r="C25" s="14" t="s">
        <v>22</v>
      </c>
      <c r="D25" s="8">
        <f>SUM(G25)/F25</f>
        <v>154.25</v>
      </c>
      <c r="E25" s="10"/>
      <c r="F25" s="5">
        <f>SUM(F17:F24)</f>
        <v>60</v>
      </c>
      <c r="G25" s="15">
        <f>SUM(G17:G24)</f>
        <v>9255</v>
      </c>
      <c r="H25" s="10">
        <f>SUM(H17:H24)</f>
        <v>10887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4">SUM(G29)/F29</f>
        <v>177.46666666666667</v>
      </c>
      <c r="E29" s="3">
        <f t="shared" ref="E29:E34" si="5">SUM(200-D29)*0.8</f>
        <v>18.026666666666667</v>
      </c>
      <c r="F29" s="1">
        <f>3+3+3+3+3</f>
        <v>15</v>
      </c>
      <c r="G29" s="1">
        <f>553+492+512+512+593</f>
        <v>2662</v>
      </c>
      <c r="H29" s="3">
        <f>604+546+566+566+647</f>
        <v>2929</v>
      </c>
      <c r="I29" s="2">
        <f t="shared" ref="I29:I34" si="6">SUM(H29)/F29</f>
        <v>195.26666666666668</v>
      </c>
      <c r="J29" s="1">
        <v>593</v>
      </c>
      <c r="K29" s="1">
        <v>647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4"/>
        <v>85</v>
      </c>
      <c r="E30" s="3">
        <f t="shared" si="5"/>
        <v>92</v>
      </c>
      <c r="F30" s="1">
        <f>3+3+3</f>
        <v>9</v>
      </c>
      <c r="G30" s="1">
        <f>308+215+242</f>
        <v>765</v>
      </c>
      <c r="H30" s="3">
        <f>500+407+434</f>
        <v>1341</v>
      </c>
      <c r="I30" s="2">
        <f t="shared" si="6"/>
        <v>149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4"/>
        <v>121.77777777777777</v>
      </c>
      <c r="E31" s="3">
        <f t="shared" si="5"/>
        <v>62.577777777777783</v>
      </c>
      <c r="F31" s="1">
        <f>3+3+3</f>
        <v>9</v>
      </c>
      <c r="G31" s="1">
        <f>332+408+356</f>
        <v>1096</v>
      </c>
      <c r="H31" s="3">
        <f>524+600+542</f>
        <v>1666</v>
      </c>
      <c r="I31" s="2">
        <f t="shared" si="6"/>
        <v>185.11111111111111</v>
      </c>
      <c r="J31" s="1">
        <v>408</v>
      </c>
      <c r="K31" s="1">
        <v>600</v>
      </c>
      <c r="L31" s="1">
        <v>146</v>
      </c>
      <c r="M31" s="1">
        <v>210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4"/>
        <v>180.41666666666666</v>
      </c>
      <c r="E32" s="3">
        <f t="shared" si="5"/>
        <v>15.666666666666675</v>
      </c>
      <c r="F32" s="1">
        <f>3+3+3+3</f>
        <v>12</v>
      </c>
      <c r="G32" s="1">
        <f>572+539+544+510</f>
        <v>2165</v>
      </c>
      <c r="H32" s="3">
        <f>572+539+544+510</f>
        <v>2165</v>
      </c>
      <c r="I32" s="2">
        <f t="shared" si="6"/>
        <v>180.41666666666666</v>
      </c>
      <c r="J32" s="1">
        <v>572</v>
      </c>
      <c r="K32" s="1">
        <v>572</v>
      </c>
      <c r="L32" s="1">
        <v>194</v>
      </c>
      <c r="M32" s="1">
        <v>194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4"/>
        <v>204.5</v>
      </c>
      <c r="E33" s="3">
        <f t="shared" si="5"/>
        <v>-3.6</v>
      </c>
      <c r="F33" s="1">
        <f>3+3</f>
        <v>6</v>
      </c>
      <c r="G33" s="1">
        <f>612+615</f>
        <v>1227</v>
      </c>
      <c r="H33" s="3">
        <f>612+615</f>
        <v>1227</v>
      </c>
      <c r="I33" s="2">
        <f t="shared" si="6"/>
        <v>204.5</v>
      </c>
      <c r="J33" s="1">
        <v>615</v>
      </c>
      <c r="K33" s="1">
        <v>615</v>
      </c>
      <c r="L33" s="1">
        <v>232</v>
      </c>
      <c r="M33" s="1">
        <v>232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4"/>
        <v>187.16666666666666</v>
      </c>
      <c r="E34" s="3">
        <f t="shared" si="5"/>
        <v>10.266666666666675</v>
      </c>
      <c r="F34" s="1">
        <f>3+3</f>
        <v>6</v>
      </c>
      <c r="G34" s="1">
        <f>572+551</f>
        <v>1123</v>
      </c>
      <c r="H34" s="3">
        <f>572+551</f>
        <v>1123</v>
      </c>
      <c r="I34" s="2">
        <f t="shared" si="6"/>
        <v>187.16666666666666</v>
      </c>
      <c r="J34" s="1">
        <v>572</v>
      </c>
      <c r="K34" s="1">
        <v>572</v>
      </c>
      <c r="L34" s="1">
        <v>225</v>
      </c>
      <c r="M34" s="1">
        <v>225</v>
      </c>
    </row>
    <row r="35" spans="1:13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160.23333333333332</v>
      </c>
      <c r="E37" s="10"/>
      <c r="F37" s="5">
        <f>SUM(F29:F36)</f>
        <v>60</v>
      </c>
      <c r="G37" s="5">
        <f>SUM(G29:G36)</f>
        <v>9614</v>
      </c>
      <c r="H37" s="16">
        <f>SUM(H29:H36)</f>
        <v>11027</v>
      </c>
      <c r="I37" s="8">
        <f>SUM(H37)/F37</f>
        <v>183.78333333333333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 t="shared" ref="D42:D47" si="7">SUM(G42)/F42</f>
        <v>175.2</v>
      </c>
      <c r="E42" s="3">
        <f t="shared" ref="E42:E47" si="8">SUM(200-D42)*0.8</f>
        <v>19.840000000000011</v>
      </c>
      <c r="F42" s="1">
        <f>3+3+3+3+3</f>
        <v>15</v>
      </c>
      <c r="G42" s="1">
        <f>546+482+514+545+541</f>
        <v>2628</v>
      </c>
      <c r="H42" s="3">
        <f>606+539+574+605+601</f>
        <v>2925</v>
      </c>
      <c r="I42" s="2">
        <f>SUM(H42)/F42</f>
        <v>195</v>
      </c>
      <c r="J42" s="1">
        <v>546</v>
      </c>
      <c r="K42" s="1">
        <v>606</v>
      </c>
      <c r="L42" s="1">
        <v>203</v>
      </c>
      <c r="M42" s="1">
        <v>223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 t="shared" si="7"/>
        <v>150.25</v>
      </c>
      <c r="E43" s="3">
        <f t="shared" si="8"/>
        <v>39.800000000000004</v>
      </c>
      <c r="F43" s="1">
        <f>3+3+3+3</f>
        <v>12</v>
      </c>
      <c r="G43" s="1">
        <f>475+468+417+443</f>
        <v>1803</v>
      </c>
      <c r="H43" s="3">
        <f>556+549+501+530</f>
        <v>2136</v>
      </c>
      <c r="I43" s="2">
        <f>SUM(H43)/F43</f>
        <v>178</v>
      </c>
      <c r="J43" s="1">
        <v>475</v>
      </c>
      <c r="K43" s="1">
        <v>556</v>
      </c>
      <c r="L43" s="1">
        <v>197</v>
      </c>
      <c r="M43" s="1">
        <v>224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 t="shared" si="7"/>
        <v>162.66666666666666</v>
      </c>
      <c r="E44" s="3">
        <f t="shared" si="8"/>
        <v>29.866666666666674</v>
      </c>
      <c r="F44" s="1">
        <f>3+3+3+3</f>
        <v>12</v>
      </c>
      <c r="G44" s="1">
        <f>484+533+481+454</f>
        <v>1952</v>
      </c>
      <c r="H44" s="3">
        <f>559+611+556+532</f>
        <v>2258</v>
      </c>
      <c r="I44" s="2">
        <f>SUM(H44)/F44</f>
        <v>188.16666666666666</v>
      </c>
      <c r="J44" s="1">
        <v>533</v>
      </c>
      <c r="K44" s="1">
        <v>611</v>
      </c>
      <c r="L44" s="1">
        <v>202</v>
      </c>
      <c r="M44" s="1">
        <v>228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 t="shared" si="7"/>
        <v>176.16666666666666</v>
      </c>
      <c r="E45" s="3">
        <f>SUM(200-D45)*0.8</f>
        <v>19.066666666666674</v>
      </c>
      <c r="F45" s="1">
        <f>3+3+3+3</f>
        <v>12</v>
      </c>
      <c r="G45" s="1">
        <f>452+518+651+493</f>
        <v>2114</v>
      </c>
      <c r="H45" s="3">
        <f>509+575+708+547</f>
        <v>2339</v>
      </c>
      <c r="I45" s="2">
        <f>SUM(H45)/F45</f>
        <v>194.91666666666666</v>
      </c>
      <c r="J45" s="1">
        <v>651</v>
      </c>
      <c r="K45" s="1">
        <v>708</v>
      </c>
      <c r="L45" s="1">
        <v>225</v>
      </c>
      <c r="M45" s="1">
        <v>244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 t="shared" si="7"/>
        <v>161.83333333333334</v>
      </c>
      <c r="E46" s="3">
        <f t="shared" si="8"/>
        <v>30.533333333333328</v>
      </c>
      <c r="F46" s="1">
        <f>3+3</f>
        <v>6</v>
      </c>
      <c r="G46" s="1">
        <f>440+531</f>
        <v>971</v>
      </c>
      <c r="H46" s="1">
        <f>563+648</f>
        <v>1211</v>
      </c>
      <c r="I46" s="2">
        <f t="shared" ref="I46:I51" si="9">SUM(H46)/F46</f>
        <v>201.83333333333334</v>
      </c>
      <c r="J46" s="1">
        <v>531</v>
      </c>
      <c r="K46" s="1">
        <v>648</v>
      </c>
      <c r="L46" s="1">
        <v>190</v>
      </c>
      <c r="M46" s="1">
        <v>229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7"/>
        <v>116</v>
      </c>
      <c r="E47" s="3">
        <f t="shared" si="8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 t="e">
        <f>SUM(G50)/F50</f>
        <v>#VALUE!</v>
      </c>
      <c r="F50" s="1" t="s">
        <v>230</v>
      </c>
      <c r="G50" s="1" t="s">
        <v>230</v>
      </c>
      <c r="H50" s="3" t="s">
        <v>230</v>
      </c>
      <c r="I50" s="2" t="e">
        <f t="shared" si="9"/>
        <v>#VALUE!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163.6</v>
      </c>
      <c r="E51" s="10"/>
      <c r="F51" s="5">
        <f>SUM(F42:F50)</f>
        <v>60</v>
      </c>
      <c r="G51" s="5">
        <f>SUM(G41:G50)</f>
        <v>9816</v>
      </c>
      <c r="H51" s="16">
        <f>SUM(H41:H50)</f>
        <v>11409</v>
      </c>
      <c r="I51" s="8">
        <f t="shared" si="9"/>
        <v>190.15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153.66666666666666</v>
      </c>
      <c r="E59" s="3">
        <f>SUM(200-D59)*0.8</f>
        <v>37.066666666666677</v>
      </c>
      <c r="F59" s="1">
        <f>3+3+3+3+3</f>
        <v>15</v>
      </c>
      <c r="G59" s="1">
        <f>441+473+481+431+479</f>
        <v>2305</v>
      </c>
      <c r="H59" s="3">
        <f>546+578+586+536+587</f>
        <v>2833</v>
      </c>
      <c r="I59" s="2">
        <f>SUM(H59)/F59</f>
        <v>188.86666666666667</v>
      </c>
      <c r="J59" s="1">
        <v>481</v>
      </c>
      <c r="K59" s="1">
        <v>587</v>
      </c>
      <c r="L59" s="1">
        <v>196</v>
      </c>
      <c r="M59" s="1">
        <v>231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113.46666666666667</v>
      </c>
      <c r="E61" s="3">
        <f>SUM(200-D61)*0.8</f>
        <v>69.226666666666674</v>
      </c>
      <c r="F61" s="1">
        <f>3+3+3+3+3</f>
        <v>15</v>
      </c>
      <c r="G61" s="1">
        <f>319+353+315+373+342</f>
        <v>1702</v>
      </c>
      <c r="H61" s="3">
        <f>511+542+507+565+534</f>
        <v>2659</v>
      </c>
      <c r="I61" s="2">
        <f>SUM(H61)/F61</f>
        <v>177.26666666666668</v>
      </c>
      <c r="J61" s="1">
        <v>373</v>
      </c>
      <c r="K61" s="1">
        <v>565</v>
      </c>
      <c r="L61" s="1">
        <v>132</v>
      </c>
      <c r="M61" s="1">
        <v>196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116.5</v>
      </c>
      <c r="E62" s="3">
        <f>SUM(200-D62)*0.8</f>
        <v>66.8</v>
      </c>
      <c r="F62" s="1">
        <f>3+3+3+3</f>
        <v>12</v>
      </c>
      <c r="G62" s="1">
        <f>354+364+364+316</f>
        <v>1398</v>
      </c>
      <c r="H62" s="3">
        <f>546+556+556+508</f>
        <v>2166</v>
      </c>
      <c r="I62" s="2">
        <f>SUM(H62)/F62</f>
        <v>180.5</v>
      </c>
      <c r="J62" s="1">
        <v>364</v>
      </c>
      <c r="K62" s="1">
        <v>556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119.16666666666667</v>
      </c>
      <c r="E63" s="3">
        <f>SUM(200-D63)*0.8</f>
        <v>64.666666666666671</v>
      </c>
      <c r="F63" s="1">
        <f>3+3+3+3</f>
        <v>12</v>
      </c>
      <c r="G63" s="1">
        <f>362+342+349+377</f>
        <v>1430</v>
      </c>
      <c r="H63" s="3">
        <f>497+483+499+530</f>
        <v>2009</v>
      </c>
      <c r="I63" s="2">
        <f>SUM(H63)/F63</f>
        <v>167.41666666666666</v>
      </c>
      <c r="J63" s="1">
        <v>377</v>
      </c>
      <c r="K63" s="1">
        <v>530</v>
      </c>
      <c r="L63" s="1">
        <v>139</v>
      </c>
      <c r="M63" s="1">
        <v>190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F66" s="1">
        <f>3</f>
        <v>3</v>
      </c>
      <c r="G66" s="1">
        <f>330</f>
        <v>330</v>
      </c>
      <c r="H66" s="3">
        <f>522</f>
        <v>522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125.88333333333334</v>
      </c>
      <c r="E68" s="10"/>
      <c r="F68" s="5">
        <f>SUM(F59:F66)</f>
        <v>60</v>
      </c>
      <c r="G68" s="5">
        <f>SUM(G59:G66)</f>
        <v>7553</v>
      </c>
      <c r="H68" s="10">
        <f>SUM(H59:H66)</f>
        <v>10748</v>
      </c>
      <c r="I68" s="8">
        <f>SUM(H68)/F68</f>
        <v>179.13333333333333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130.33333333333334</v>
      </c>
      <c r="E72" s="3">
        <f>SUM(200-D72)*0.8</f>
        <v>55.733333333333327</v>
      </c>
      <c r="F72" s="1">
        <f>3+3+3</f>
        <v>9</v>
      </c>
      <c r="G72" s="1">
        <f>367+435+371</f>
        <v>1173</v>
      </c>
      <c r="H72" s="3">
        <f>478+549+485</f>
        <v>1512</v>
      </c>
      <c r="I72" s="2">
        <f>SUM(H72)/F72</f>
        <v>168</v>
      </c>
      <c r="J72" s="1">
        <v>435</v>
      </c>
      <c r="K72" s="1">
        <v>549</v>
      </c>
      <c r="L72" s="1">
        <v>171</v>
      </c>
      <c r="M72" s="1">
        <v>209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147.16666666666666</v>
      </c>
      <c r="E73" s="3">
        <f>SUM(200-D73)*0.8</f>
        <v>42.26666666666668</v>
      </c>
      <c r="F73" s="1">
        <f>3+3+3+3</f>
        <v>12</v>
      </c>
      <c r="G73" s="1">
        <f>411+467+463+425</f>
        <v>1766</v>
      </c>
      <c r="H73" s="3">
        <f>498+557+556+518</f>
        <v>2129</v>
      </c>
      <c r="I73" s="2">
        <f>SUM(H73)/F73</f>
        <v>177.41666666666666</v>
      </c>
      <c r="J73" s="1">
        <v>467</v>
      </c>
      <c r="K73" s="1">
        <v>557</v>
      </c>
      <c r="L73" s="1">
        <v>183</v>
      </c>
      <c r="M73" s="1">
        <v>213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125</v>
      </c>
      <c r="E74" s="3">
        <f>SUM(200-D74)*0.8</f>
        <v>60</v>
      </c>
      <c r="F74" s="1">
        <f>3+3+3</f>
        <v>9</v>
      </c>
      <c r="G74" s="1">
        <f>388+361+376</f>
        <v>1125</v>
      </c>
      <c r="H74" s="3">
        <f>493+469+490</f>
        <v>1452</v>
      </c>
      <c r="I74" s="2">
        <f>SUM(H74)/F74</f>
        <v>161.33333333333334</v>
      </c>
      <c r="J74" s="1">
        <v>388</v>
      </c>
      <c r="K74" s="1">
        <v>493</v>
      </c>
      <c r="L74" s="1">
        <v>137</v>
      </c>
      <c r="M74" s="1">
        <v>172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152.75</v>
      </c>
      <c r="E75" s="3">
        <f>SUM(200-D75)*0.8</f>
        <v>37.800000000000004</v>
      </c>
      <c r="F75" s="1">
        <f>3+3+3+3</f>
        <v>12</v>
      </c>
      <c r="G75" s="1">
        <f>473+445+393+522</f>
        <v>1833</v>
      </c>
      <c r="H75" s="3">
        <f>566+535+486+618</f>
        <v>2205</v>
      </c>
      <c r="I75" s="2">
        <f>SUM(H75)/F75</f>
        <v>183.75</v>
      </c>
      <c r="J75" s="1">
        <v>522</v>
      </c>
      <c r="K75" s="1">
        <v>618</v>
      </c>
      <c r="L75" s="1">
        <v>183</v>
      </c>
      <c r="M75" s="1">
        <v>215</v>
      </c>
    </row>
    <row r="76" spans="1:18" x14ac:dyDescent="0.35">
      <c r="A76" s="4" t="s">
        <v>13</v>
      </c>
      <c r="B76" s="1">
        <v>5</v>
      </c>
      <c r="C76" s="4" t="s">
        <v>222</v>
      </c>
      <c r="D76" s="2">
        <f>SUM(G76)/F76</f>
        <v>168.5</v>
      </c>
      <c r="E76" s="154">
        <f>SUM(200-D76)*0.8</f>
        <v>25.200000000000003</v>
      </c>
      <c r="F76" s="1">
        <f>3+3+3+3</f>
        <v>12</v>
      </c>
      <c r="G76" s="1">
        <f>454+514+515+539</f>
        <v>2022</v>
      </c>
      <c r="H76" s="1">
        <f>571+631+608+623</f>
        <v>2433</v>
      </c>
      <c r="I76" s="147">
        <f>SUM(H76)/F76</f>
        <v>202.75</v>
      </c>
      <c r="J76" s="1">
        <v>539</v>
      </c>
      <c r="K76" s="1">
        <v>623</v>
      </c>
      <c r="L76" s="1">
        <v>212</v>
      </c>
      <c r="M76" s="1">
        <v>240</v>
      </c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147</v>
      </c>
      <c r="F80" s="1">
        <f>3+3</f>
        <v>6</v>
      </c>
      <c r="G80" s="1">
        <f>456+426</f>
        <v>882</v>
      </c>
      <c r="H80" s="3">
        <f>546+540</f>
        <v>1086</v>
      </c>
      <c r="I80" s="2">
        <f>SUM(H80)/F80</f>
        <v>181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146.68333333333334</v>
      </c>
      <c r="E81" s="10"/>
      <c r="F81" s="5">
        <f>SUM(F72:F80)</f>
        <v>60</v>
      </c>
      <c r="G81" s="5">
        <f>SUM(G72:G80)</f>
        <v>8801</v>
      </c>
      <c r="H81" s="10">
        <f>SUM(H72:H80)</f>
        <v>10817</v>
      </c>
      <c r="I81" s="8">
        <f>SUM(H81)/F81</f>
        <v>180.28333333333333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10">SUM(G85)/F85</f>
        <v>170.33333333333334</v>
      </c>
      <c r="E85" s="3">
        <f t="shared" ref="E85:E90" si="11">SUM(200-D85)*0.8</f>
        <v>23.733333333333327</v>
      </c>
      <c r="F85" s="1">
        <f>3+3+3+3+3</f>
        <v>15</v>
      </c>
      <c r="G85" s="1">
        <f>528+498+480+564+485</f>
        <v>2555</v>
      </c>
      <c r="H85" s="3">
        <f>603+570+555+639+557</f>
        <v>2924</v>
      </c>
      <c r="I85" s="2">
        <f t="shared" ref="I85:I90" si="12">SUM(H85)/F85</f>
        <v>194.93333333333334</v>
      </c>
      <c r="J85" s="1">
        <v>564</v>
      </c>
      <c r="K85" s="1">
        <v>639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10"/>
        <v>149</v>
      </c>
      <c r="E86" s="3">
        <f t="shared" si="11"/>
        <v>40.800000000000004</v>
      </c>
      <c r="F86" s="1">
        <f>3+3</f>
        <v>6</v>
      </c>
      <c r="G86" s="1">
        <f>385+509</f>
        <v>894</v>
      </c>
      <c r="H86" s="3">
        <f>505+632</f>
        <v>1137</v>
      </c>
      <c r="I86" s="2">
        <f t="shared" si="12"/>
        <v>189.5</v>
      </c>
      <c r="J86" s="1">
        <v>509</v>
      </c>
      <c r="K86" s="1">
        <v>632</v>
      </c>
      <c r="L86" s="1">
        <v>210</v>
      </c>
      <c r="M86" s="1">
        <v>251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10"/>
        <v>163</v>
      </c>
      <c r="E87" s="3">
        <f t="shared" si="11"/>
        <v>29.6</v>
      </c>
      <c r="F87" s="1">
        <f>3+3</f>
        <v>6</v>
      </c>
      <c r="G87" s="1">
        <f>489+489</f>
        <v>978</v>
      </c>
      <c r="H87" s="3">
        <f>573+576</f>
        <v>1149</v>
      </c>
      <c r="I87" s="2">
        <f t="shared" si="12"/>
        <v>191.5</v>
      </c>
      <c r="J87" s="1">
        <v>489</v>
      </c>
      <c r="K87" s="1">
        <v>576</v>
      </c>
      <c r="L87" s="1">
        <v>191</v>
      </c>
      <c r="M87" s="1">
        <v>220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175.5</v>
      </c>
      <c r="E88" s="3">
        <f>SUM(200-D88)*0.8</f>
        <v>19.600000000000001</v>
      </c>
      <c r="F88" s="1">
        <f>3+3</f>
        <v>6</v>
      </c>
      <c r="G88" s="1">
        <f>488+565</f>
        <v>1053</v>
      </c>
      <c r="H88" s="3">
        <f>563+643</f>
        <v>1206</v>
      </c>
      <c r="I88" s="2">
        <f t="shared" si="12"/>
        <v>201</v>
      </c>
      <c r="J88" s="1">
        <v>565</v>
      </c>
      <c r="K88" s="1">
        <v>643</v>
      </c>
      <c r="L88" s="1">
        <v>211</v>
      </c>
      <c r="M88" s="1">
        <v>237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10"/>
        <v>161</v>
      </c>
      <c r="E89" s="3">
        <f t="shared" si="11"/>
        <v>31.200000000000003</v>
      </c>
      <c r="F89" s="1">
        <f>3+3+3+3</f>
        <v>12</v>
      </c>
      <c r="G89" s="1">
        <f>520+449+464+499</f>
        <v>1932</v>
      </c>
      <c r="H89" s="3">
        <f>601+530+545+583</f>
        <v>2259</v>
      </c>
      <c r="I89" s="2">
        <f t="shared" si="12"/>
        <v>188.25</v>
      </c>
      <c r="J89" s="1">
        <v>520</v>
      </c>
      <c r="K89" s="1">
        <v>601</v>
      </c>
      <c r="L89" s="1">
        <v>183</v>
      </c>
      <c r="M89" s="1">
        <v>211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10"/>
        <v>143.55555555555554</v>
      </c>
      <c r="E90" s="3">
        <f t="shared" si="11"/>
        <v>45.155555555555566</v>
      </c>
      <c r="F90" s="1">
        <f>3+3+3</f>
        <v>9</v>
      </c>
      <c r="G90" s="1">
        <f>474+421+397</f>
        <v>1292</v>
      </c>
      <c r="H90" s="3">
        <f>561+511+487</f>
        <v>1559</v>
      </c>
      <c r="I90" s="2">
        <f t="shared" si="12"/>
        <v>173.22222222222223</v>
      </c>
      <c r="J90" s="1">
        <v>474</v>
      </c>
      <c r="K90" s="1">
        <v>561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10"/>
        <v>156.33333333333334</v>
      </c>
      <c r="F91" s="1">
        <f>3+3</f>
        <v>6</v>
      </c>
      <c r="G91" s="1">
        <f>456+482</f>
        <v>938</v>
      </c>
      <c r="H91" s="3">
        <f>546+569</f>
        <v>1115</v>
      </c>
      <c r="I91" s="2">
        <f>SUM(H91)/F91</f>
        <v>185.83333333333334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160.69999999999999</v>
      </c>
      <c r="E93" s="10"/>
      <c r="F93" s="5">
        <f>SUM(F85:F91)</f>
        <v>60</v>
      </c>
      <c r="G93" s="5">
        <f>SUM(G85:G91)</f>
        <v>9642</v>
      </c>
      <c r="H93" s="10">
        <f>SUM(H85:H92)</f>
        <v>11349</v>
      </c>
      <c r="I93" s="8">
        <f>SUM(H93)/F93</f>
        <v>189.15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13">SUM(G96)/F96</f>
        <v>174.55555555555554</v>
      </c>
      <c r="E96" s="3">
        <f t="shared" ref="E96:E102" si="14">SUM(200-D96)*0.8</f>
        <v>20.355555555555569</v>
      </c>
      <c r="F96" s="1">
        <f>3+3+3</f>
        <v>9</v>
      </c>
      <c r="G96" s="1">
        <f>638+444+489</f>
        <v>1571</v>
      </c>
      <c r="H96" s="3">
        <f>722+522+570</f>
        <v>1814</v>
      </c>
      <c r="I96" s="2">
        <f>SUM(H96)/F96</f>
        <v>201.55555555555554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13"/>
        <v>138.5</v>
      </c>
      <c r="E97" s="3">
        <f t="shared" si="14"/>
        <v>49.2</v>
      </c>
      <c r="F97" s="1">
        <f>3+3</f>
        <v>6</v>
      </c>
      <c r="G97" s="1">
        <f>411+420</f>
        <v>831</v>
      </c>
      <c r="H97" s="3">
        <f>498+510</f>
        <v>1008</v>
      </c>
      <c r="I97" s="2">
        <f>SUM(H97)/F97</f>
        <v>168</v>
      </c>
      <c r="J97" s="1">
        <v>420</v>
      </c>
      <c r="K97" s="1">
        <v>510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13"/>
        <v>149.66666666666666</v>
      </c>
      <c r="E98" s="3">
        <f t="shared" si="14"/>
        <v>40.26666666666668</v>
      </c>
      <c r="F98" s="1">
        <f>3+3+3</f>
        <v>9</v>
      </c>
      <c r="G98" s="1">
        <f>425+427+495</f>
        <v>1347</v>
      </c>
      <c r="H98" s="3">
        <f>482+487+558</f>
        <v>1527</v>
      </c>
      <c r="I98" s="2">
        <v>188.66</v>
      </c>
      <c r="J98" s="1">
        <v>495</v>
      </c>
      <c r="K98" s="1">
        <v>558</v>
      </c>
      <c r="L98" s="1">
        <v>200</v>
      </c>
      <c r="M98" s="1">
        <v>221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13"/>
        <v>161.11111111111111</v>
      </c>
      <c r="E99" s="3">
        <f t="shared" si="14"/>
        <v>31.111111111111111</v>
      </c>
      <c r="F99" s="1">
        <f>3+3+3</f>
        <v>9</v>
      </c>
      <c r="G99" s="1">
        <f>455+507+488</f>
        <v>1450</v>
      </c>
      <c r="H99" s="3">
        <f>536+589+569</f>
        <v>1694</v>
      </c>
      <c r="I99" s="2">
        <v>193.33</v>
      </c>
      <c r="J99" s="1">
        <v>507</v>
      </c>
      <c r="K99" s="1">
        <v>589</v>
      </c>
      <c r="L99" s="1">
        <v>177</v>
      </c>
      <c r="M99" s="1">
        <v>204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13"/>
        <v>177.75</v>
      </c>
      <c r="E100" s="3">
        <f t="shared" si="14"/>
        <v>17.8</v>
      </c>
      <c r="F100" s="1">
        <f>3+3+3+3</f>
        <v>12</v>
      </c>
      <c r="G100" s="1">
        <f>573+521+590+449</f>
        <v>2133</v>
      </c>
      <c r="H100" s="3">
        <f>624+572+641+497</f>
        <v>2334</v>
      </c>
      <c r="I100" s="2">
        <f>SUM(H100)/F100</f>
        <v>194.5</v>
      </c>
      <c r="J100" s="1">
        <v>590</v>
      </c>
      <c r="K100" s="1">
        <v>641</v>
      </c>
      <c r="L100" s="1">
        <v>235</v>
      </c>
      <c r="M100" s="1">
        <v>252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13"/>
        <v>138.16666666666666</v>
      </c>
      <c r="E101" s="3">
        <f t="shared" si="14"/>
        <v>49.466666666666676</v>
      </c>
      <c r="F101" s="1">
        <f>3+3</f>
        <v>6</v>
      </c>
      <c r="G101" s="1">
        <f>389+440</f>
        <v>829</v>
      </c>
      <c r="H101" s="3">
        <f>455+509</f>
        <v>964</v>
      </c>
      <c r="I101" s="2">
        <f>SUM(H101)/F101</f>
        <v>160.66666666666666</v>
      </c>
      <c r="J101" s="1">
        <v>440</v>
      </c>
      <c r="K101" s="1">
        <v>509</v>
      </c>
      <c r="L101" s="1">
        <v>151</v>
      </c>
      <c r="M101" s="1">
        <v>174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13"/>
        <v>154</v>
      </c>
      <c r="E102" s="3">
        <f t="shared" si="14"/>
        <v>36.800000000000004</v>
      </c>
      <c r="F102" s="1">
        <f>3+3</f>
        <v>6</v>
      </c>
      <c r="G102" s="1">
        <f>465+459</f>
        <v>924</v>
      </c>
      <c r="H102" s="3">
        <f>561+558</f>
        <v>1119</v>
      </c>
      <c r="I102" s="2">
        <f>SUM(H102)/F102</f>
        <v>186.5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164</v>
      </c>
      <c r="F104" s="1">
        <f>3</f>
        <v>3</v>
      </c>
      <c r="G104" s="1">
        <f>492</f>
        <v>492</v>
      </c>
      <c r="H104" s="3">
        <f>555</f>
        <v>555</v>
      </c>
      <c r="I104" s="2">
        <f>SUM(H104)/F104</f>
        <v>185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5" t="s">
        <v>71</v>
      </c>
      <c r="D107" s="4"/>
      <c r="E107" s="4"/>
      <c r="F107" s="156">
        <f>SUM(F96:F104)</f>
        <v>60</v>
      </c>
      <c r="G107" s="10">
        <f>SUM(G96:G104)</f>
        <v>9577</v>
      </c>
      <c r="H107" s="10">
        <f>SUM(H96:H104)</f>
        <v>11015</v>
      </c>
      <c r="I107" s="8">
        <f>SUM(H107)/F107</f>
        <v>183.58333333333334</v>
      </c>
      <c r="J107" s="10"/>
      <c r="K107" s="2"/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 t="shared" ref="D112:D117" si="15">SUM(G112)/F112</f>
        <v>185.88888888888889</v>
      </c>
      <c r="E112" s="3">
        <f t="shared" ref="E112:E117" si="16">SUM(200-D112)*0.8</f>
        <v>11.288888888888891</v>
      </c>
      <c r="F112" s="1">
        <f>3+3+3+3+3+3</f>
        <v>18</v>
      </c>
      <c r="G112" s="1">
        <f>525+611+514+595+584+517</f>
        <v>3346</v>
      </c>
      <c r="H112" s="3">
        <f>579+665+565+646+635+544</f>
        <v>3634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 t="shared" si="15"/>
        <v>167.8</v>
      </c>
      <c r="E113" s="3">
        <f t="shared" si="16"/>
        <v>25.759999999999991</v>
      </c>
      <c r="F113" s="1">
        <f>3+3+3+3+3</f>
        <v>15</v>
      </c>
      <c r="G113" s="1">
        <f>498+447+472+499+601</f>
        <v>2517</v>
      </c>
      <c r="H113" s="3">
        <f>602+525+553+580+682</f>
        <v>2942</v>
      </c>
      <c r="I113" s="2">
        <f>SUM(H113)/F113</f>
        <v>196.13333333333333</v>
      </c>
      <c r="J113" s="1">
        <v>601</v>
      </c>
      <c r="K113" s="1">
        <v>682</v>
      </c>
      <c r="L113" s="1">
        <v>218</v>
      </c>
      <c r="M113" s="1">
        <v>245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 t="shared" si="15"/>
        <v>171.33333333333334</v>
      </c>
      <c r="E114" s="3">
        <f t="shared" si="16"/>
        <v>22.933333333333326</v>
      </c>
      <c r="F114" s="1">
        <f>3+3+3+3+3+3</f>
        <v>18</v>
      </c>
      <c r="G114" s="1">
        <f>485+530+536+529+517+487</f>
        <v>3084</v>
      </c>
      <c r="H114" s="3">
        <f>572+617+620+613+601+553</f>
        <v>3576</v>
      </c>
      <c r="I114" s="2">
        <f>SUM(H114)/F114</f>
        <v>198.66666666666666</v>
      </c>
      <c r="J114" s="1">
        <v>536</v>
      </c>
      <c r="K114" s="1">
        <v>620</v>
      </c>
      <c r="L114" s="1">
        <v>214</v>
      </c>
      <c r="M114" s="1">
        <v>242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 t="shared" si="15"/>
        <v>180.75</v>
      </c>
      <c r="E115" s="3">
        <f t="shared" si="16"/>
        <v>15.4</v>
      </c>
      <c r="F115" s="1">
        <f>3+3+3+3</f>
        <v>12</v>
      </c>
      <c r="G115" s="1">
        <f>499+616+519+535</f>
        <v>2169</v>
      </c>
      <c r="H115" s="3">
        <f>523+643+543+577</f>
        <v>2286</v>
      </c>
      <c r="I115" s="2">
        <f>SUM(H115)/F115</f>
        <v>190.5</v>
      </c>
      <c r="J115" s="1">
        <v>616</v>
      </c>
      <c r="K115" s="1">
        <v>643</v>
      </c>
      <c r="L115" s="1">
        <v>219</v>
      </c>
      <c r="M115" s="1">
        <v>228</v>
      </c>
    </row>
    <row r="116" spans="1:17" x14ac:dyDescent="0.35">
      <c r="A116" s="1" t="s">
        <v>15</v>
      </c>
      <c r="B116" s="1">
        <v>8</v>
      </c>
      <c r="C116" s="1" t="s">
        <v>142</v>
      </c>
      <c r="D116" s="2">
        <f t="shared" si="15"/>
        <v>160</v>
      </c>
      <c r="E116" s="3">
        <f t="shared" si="16"/>
        <v>32</v>
      </c>
      <c r="F116" s="1">
        <f>3+3</f>
        <v>6</v>
      </c>
      <c r="G116" s="1">
        <f>418+542</f>
        <v>960</v>
      </c>
      <c r="H116" s="3">
        <f>4479+505+635</f>
        <v>5619</v>
      </c>
      <c r="I116" s="2">
        <f>SUM(H116)/F116</f>
        <v>936.5</v>
      </c>
      <c r="J116" s="1">
        <v>542</v>
      </c>
      <c r="K116" s="1">
        <v>635</v>
      </c>
      <c r="L116" s="1">
        <v>210</v>
      </c>
      <c r="M116" s="1">
        <v>241</v>
      </c>
    </row>
    <row r="117" spans="1:17" x14ac:dyDescent="0.35">
      <c r="A117" s="1" t="s">
        <v>13</v>
      </c>
      <c r="B117" s="1">
        <v>6</v>
      </c>
      <c r="C117" s="1" t="s">
        <v>140</v>
      </c>
      <c r="D117" s="2">
        <f t="shared" si="15"/>
        <v>178</v>
      </c>
      <c r="E117" s="3">
        <f t="shared" si="16"/>
        <v>17.600000000000001</v>
      </c>
      <c r="F117" s="1">
        <f>3</f>
        <v>3</v>
      </c>
      <c r="G117" s="1">
        <f>534</f>
        <v>534</v>
      </c>
      <c r="H117" s="3">
        <f>621</f>
        <v>621</v>
      </c>
      <c r="I117" s="2">
        <f>SUM(H117)/F117</f>
        <v>207</v>
      </c>
      <c r="J117" s="1">
        <v>534</v>
      </c>
      <c r="K117" s="1">
        <v>621</v>
      </c>
      <c r="L117" s="1">
        <v>204</v>
      </c>
      <c r="M117" s="1">
        <v>233</v>
      </c>
    </row>
    <row r="119" spans="1:17" x14ac:dyDescent="0.35">
      <c r="A119" s="4"/>
      <c r="B119" s="4"/>
      <c r="C119" s="1" t="s">
        <v>57</v>
      </c>
      <c r="D119" s="2" t="e">
        <f>SUM(G119)/F119</f>
        <v>#VALUE!</v>
      </c>
      <c r="F119" s="1" t="s">
        <v>230</v>
      </c>
      <c r="G119" s="1" t="s">
        <v>230</v>
      </c>
      <c r="H119" s="3" t="s">
        <v>230</v>
      </c>
      <c r="I119" s="2" t="e">
        <f>SUM(H119)/F119</f>
        <v>#VALUE!</v>
      </c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130" t="s">
        <v>71</v>
      </c>
      <c r="D120" s="131">
        <f ca="1">SUM(G120)/F120</f>
        <v>0.86714658320292126</v>
      </c>
      <c r="E120" s="132"/>
      <c r="F120" s="130">
        <f>SUM(F112:F119)</f>
        <v>72</v>
      </c>
      <c r="G120" s="130">
        <f ca="1">SUM(G112:G133)</f>
        <v>83116</v>
      </c>
      <c r="H120" s="132">
        <f ca="1">SUM(H112:H133)</f>
        <v>94404</v>
      </c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5" x14ac:dyDescent="0.35">
      <c r="A129" s="1" t="s">
        <v>15</v>
      </c>
      <c r="B129" s="1">
        <v>3</v>
      </c>
      <c r="C129" s="11" t="s">
        <v>17</v>
      </c>
      <c r="D129" s="2">
        <f t="shared" ref="D129:D133" si="17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5" x14ac:dyDescent="0.35">
      <c r="A130" s="1" t="s">
        <v>15</v>
      </c>
      <c r="B130" s="1">
        <v>7</v>
      </c>
      <c r="C130" s="11" t="s">
        <v>137</v>
      </c>
      <c r="D130" s="2">
        <f t="shared" si="17"/>
        <v>166</v>
      </c>
      <c r="E130" s="3">
        <f t="shared" ref="E130:E142" si="18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9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5" x14ac:dyDescent="0.35">
      <c r="A131" s="1" t="s">
        <v>15</v>
      </c>
      <c r="B131" s="1">
        <v>8</v>
      </c>
      <c r="C131" s="11" t="s">
        <v>138</v>
      </c>
      <c r="D131" s="2">
        <f t="shared" si="17"/>
        <v>161.66666666666666</v>
      </c>
      <c r="E131" s="3">
        <f t="shared" si="18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9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5" x14ac:dyDescent="0.35">
      <c r="A132" s="1" t="s">
        <v>15</v>
      </c>
      <c r="B132" s="1">
        <v>4</v>
      </c>
      <c r="C132" s="1" t="s">
        <v>75</v>
      </c>
      <c r="D132" s="2">
        <f t="shared" si="17"/>
        <v>171.85333333333332</v>
      </c>
      <c r="E132" s="3">
        <f t="shared" si="18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9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5" x14ac:dyDescent="0.35">
      <c r="A133" s="1" t="s">
        <v>15</v>
      </c>
      <c r="B133" s="1">
        <v>5</v>
      </c>
      <c r="C133" s="1" t="s">
        <v>133</v>
      </c>
      <c r="D133" s="2">
        <f t="shared" si="17"/>
        <v>172.43333333333334</v>
      </c>
      <c r="E133" s="3">
        <f t="shared" si="18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9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5" spans="1:15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8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9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5" x14ac:dyDescent="0.35">
      <c r="A137" s="1" t="s">
        <v>15</v>
      </c>
      <c r="B137" s="1">
        <v>5</v>
      </c>
      <c r="C137" s="4" t="s">
        <v>34</v>
      </c>
      <c r="D137" s="2">
        <f t="shared" ref="D137:D142" si="20">SUM(G137)/F137</f>
        <v>137</v>
      </c>
      <c r="E137" s="3">
        <f t="shared" si="18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9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5" x14ac:dyDescent="0.35">
      <c r="A138" s="1" t="s">
        <v>13</v>
      </c>
      <c r="B138" s="1">
        <v>6</v>
      </c>
      <c r="C138" s="4" t="s">
        <v>49</v>
      </c>
      <c r="D138" s="2">
        <f t="shared" si="20"/>
        <v>147.4</v>
      </c>
      <c r="E138" s="3">
        <f t="shared" si="18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9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5" x14ac:dyDescent="0.35">
      <c r="A139" s="1" t="s">
        <v>13</v>
      </c>
      <c r="B139" s="1">
        <v>3</v>
      </c>
      <c r="C139" s="4" t="s">
        <v>37</v>
      </c>
      <c r="D139" s="2">
        <f t="shared" si="20"/>
        <v>167.64285714285714</v>
      </c>
      <c r="E139" s="3">
        <f t="shared" si="18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9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5" x14ac:dyDescent="0.35">
      <c r="A140" s="1" t="s">
        <v>15</v>
      </c>
      <c r="B140" s="1">
        <v>5</v>
      </c>
      <c r="C140" s="4" t="s">
        <v>39</v>
      </c>
      <c r="D140" s="2">
        <f t="shared" si="20"/>
        <v>163.4</v>
      </c>
      <c r="E140" s="3">
        <f t="shared" si="18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9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5" x14ac:dyDescent="0.35">
      <c r="A141" s="1" t="s">
        <v>15</v>
      </c>
      <c r="B141" s="1">
        <v>6</v>
      </c>
      <c r="C141" s="1" t="s">
        <v>139</v>
      </c>
      <c r="D141" s="2">
        <f t="shared" si="20"/>
        <v>166.54166666666666</v>
      </c>
      <c r="E141" s="3">
        <f t="shared" si="18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9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5" x14ac:dyDescent="0.35">
      <c r="A142" s="1" t="s">
        <v>15</v>
      </c>
      <c r="B142" s="1">
        <v>4</v>
      </c>
      <c r="C142" s="4" t="s">
        <v>38</v>
      </c>
      <c r="D142" s="2">
        <f t="shared" si="20"/>
        <v>166.38235294117646</v>
      </c>
      <c r="E142" s="3">
        <f t="shared" si="18"/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  <row r="143" spans="1:15" x14ac:dyDescent="0.35">
      <c r="A143" s="1" t="s">
        <v>13</v>
      </c>
      <c r="B143" s="1">
        <v>7</v>
      </c>
      <c r="C143" s="4" t="s">
        <v>50</v>
      </c>
      <c r="D143" s="2">
        <f>SUM(G143)/F143</f>
        <v>126.04761904761905</v>
      </c>
      <c r="E143" s="3">
        <f>SUM(200-D143)*0.8</f>
        <v>59.161904761904765</v>
      </c>
      <c r="F143" s="1">
        <f>21</f>
        <v>21</v>
      </c>
      <c r="G143" s="1">
        <f>2647</f>
        <v>2647</v>
      </c>
      <c r="H143" s="3">
        <f>3808</f>
        <v>3808</v>
      </c>
      <c r="I143" s="2">
        <f>SUM(H143)/F143</f>
        <v>181.33333333333334</v>
      </c>
      <c r="J143" s="1">
        <v>424</v>
      </c>
      <c r="K143" s="1">
        <v>607</v>
      </c>
      <c r="L143" s="1">
        <v>163</v>
      </c>
      <c r="M143" s="1">
        <v>224</v>
      </c>
      <c r="O143" s="4">
        <f>SUM(200-D60)*0.8</f>
        <v>56.535999999999994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5</v>
      </c>
      <c r="F3" s="20" t="s">
        <v>78</v>
      </c>
      <c r="G3" s="21" t="s">
        <v>79</v>
      </c>
      <c r="H3" s="22">
        <v>46295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7+10+10+8+11</f>
        <v>46</v>
      </c>
      <c r="E5" s="29">
        <f>2007+2006+2138+2142+2244</f>
        <v>10537</v>
      </c>
      <c r="F5" s="29">
        <f>2241+2312+2381+2382+2553</f>
        <v>11869</v>
      </c>
      <c r="G5" s="30">
        <f t="shared" ref="G5:G14" si="0">F5/I5</f>
        <v>197.81666666666666</v>
      </c>
      <c r="H5" s="30">
        <f t="shared" ref="H5:H14" si="1">E5/I5</f>
        <v>175.61666666666667</v>
      </c>
      <c r="I5" s="27">
        <f>SUM(E3)*12</f>
        <v>60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30</v>
      </c>
      <c r="D6" s="29">
        <f>9+3+7+8+10</f>
        <v>37</v>
      </c>
      <c r="E6" s="29">
        <f>1957+1831+1889+2120+2019</f>
        <v>9816</v>
      </c>
      <c r="F6" s="29">
        <f>2230+2239+2213+2399+2328</f>
        <v>11409</v>
      </c>
      <c r="G6" s="30">
        <f t="shared" si="0"/>
        <v>190.15</v>
      </c>
      <c r="H6" s="30">
        <f t="shared" si="1"/>
        <v>163.6</v>
      </c>
      <c r="I6" s="27">
        <f t="shared" ref="I6:I14" si="2">SUM(I5)</f>
        <v>60</v>
      </c>
    </row>
    <row r="7" spans="2:16" ht="21.75" thickBot="1" x14ac:dyDescent="0.3">
      <c r="B7" s="28">
        <v>3</v>
      </c>
      <c r="C7" s="29" t="s">
        <v>51</v>
      </c>
      <c r="D7" s="29">
        <f>7+6+5+6+10</f>
        <v>34</v>
      </c>
      <c r="E7" s="29">
        <f>1979+2004+1711+1973+1975</f>
        <v>9642</v>
      </c>
      <c r="F7" s="29">
        <f>2300+2325+2077+2306+2341</f>
        <v>11349</v>
      </c>
      <c r="G7" s="30">
        <f t="shared" si="0"/>
        <v>189.15</v>
      </c>
      <c r="H7" s="30">
        <f t="shared" si="1"/>
        <v>160.69999999999999</v>
      </c>
      <c r="I7" s="27">
        <f t="shared" si="2"/>
        <v>60</v>
      </c>
    </row>
    <row r="8" spans="2:16" ht="21.75" thickBot="1" x14ac:dyDescent="0.3">
      <c r="B8" s="28">
        <v>4</v>
      </c>
      <c r="C8" s="29" t="s">
        <v>207</v>
      </c>
      <c r="D8" s="29">
        <f>7+7+8+8+3</f>
        <v>33</v>
      </c>
      <c r="E8" s="29">
        <f>2280+2280+2280+2280+2280</f>
        <v>11400</v>
      </c>
      <c r="F8" s="29">
        <f>2280+2280+2280+2280+2280</f>
        <v>11400</v>
      </c>
      <c r="G8" s="30">
        <f t="shared" si="0"/>
        <v>190</v>
      </c>
      <c r="H8" s="30">
        <f t="shared" si="1"/>
        <v>190</v>
      </c>
      <c r="I8" s="27">
        <f t="shared" si="2"/>
        <v>60</v>
      </c>
    </row>
    <row r="9" spans="2:16" ht="21.75" thickBot="1" x14ac:dyDescent="0.3">
      <c r="B9" s="34">
        <v>5</v>
      </c>
      <c r="C9" s="29" t="s">
        <v>144</v>
      </c>
      <c r="D9" s="29">
        <f>8+8+4+5+2</f>
        <v>27</v>
      </c>
      <c r="E9" s="29">
        <f>1765+2252+1694+2222+1701</f>
        <v>9634</v>
      </c>
      <c r="F9" s="29">
        <f>2200+2306+2112+2276+2133</f>
        <v>11027</v>
      </c>
      <c r="G9" s="30">
        <f t="shared" si="0"/>
        <v>183.78333333333333</v>
      </c>
      <c r="H9" s="30">
        <f t="shared" si="1"/>
        <v>160.56666666666666</v>
      </c>
      <c r="I9" s="27">
        <f t="shared" si="2"/>
        <v>60</v>
      </c>
    </row>
    <row r="10" spans="2:16" ht="21.75" thickBot="1" x14ac:dyDescent="0.3">
      <c r="B10" s="28">
        <v>6</v>
      </c>
      <c r="C10" s="29" t="s">
        <v>58</v>
      </c>
      <c r="D10" s="29">
        <f>5+2+4+9+6</f>
        <v>26</v>
      </c>
      <c r="E10" s="29">
        <f>1939+1837+1851+2029+1921</f>
        <v>9577</v>
      </c>
      <c r="F10" s="29">
        <f>2263+2125+2139+2293+2194</f>
        <v>11014</v>
      </c>
      <c r="G10" s="30">
        <f t="shared" si="0"/>
        <v>183.56666666666666</v>
      </c>
      <c r="H10" s="30">
        <f t="shared" si="1"/>
        <v>159.61666666666667</v>
      </c>
      <c r="I10" s="27">
        <f t="shared" si="2"/>
        <v>60</v>
      </c>
    </row>
    <row r="11" spans="2:16" ht="21.75" thickBot="1" x14ac:dyDescent="0.3">
      <c r="B11" s="28">
        <v>7</v>
      </c>
      <c r="C11" s="29" t="s">
        <v>206</v>
      </c>
      <c r="D11" s="29">
        <f>4+8+3+6+4</f>
        <v>25</v>
      </c>
      <c r="E11" s="29">
        <f>1522+1553+1303+1517+1514</f>
        <v>7409</v>
      </c>
      <c r="F11" s="29">
        <f>2162+2177+1933+2156+2159</f>
        <v>10587</v>
      </c>
      <c r="G11" s="30">
        <f t="shared" si="0"/>
        <v>176.45</v>
      </c>
      <c r="H11" s="30">
        <f t="shared" si="1"/>
        <v>123.48333333333333</v>
      </c>
      <c r="I11" s="27">
        <f t="shared" si="2"/>
        <v>60</v>
      </c>
    </row>
    <row r="12" spans="2:16" ht="21.75" thickBot="1" x14ac:dyDescent="0.3">
      <c r="B12" s="28">
        <v>8</v>
      </c>
      <c r="C12" s="29" t="s">
        <v>88</v>
      </c>
      <c r="D12" s="29">
        <f>7+5+6+3+1</f>
        <v>22</v>
      </c>
      <c r="E12" s="29">
        <f>2101+1945+1928+1862+1632</f>
        <v>9468</v>
      </c>
      <c r="F12" s="29">
        <f>2404+2230+2167+2183+1914</f>
        <v>10898</v>
      </c>
      <c r="G12" s="30">
        <f t="shared" si="0"/>
        <v>181.63333333333333</v>
      </c>
      <c r="H12" s="30">
        <f t="shared" si="1"/>
        <v>157.80000000000001</v>
      </c>
      <c r="I12" s="27">
        <f t="shared" si="2"/>
        <v>60</v>
      </c>
    </row>
    <row r="13" spans="2:16" ht="21.75" thickBot="1" x14ac:dyDescent="0.3">
      <c r="B13" s="28">
        <v>9</v>
      </c>
      <c r="C13" s="29" t="s">
        <v>87</v>
      </c>
      <c r="D13" s="29">
        <f>1+7+4+4+5</f>
        <v>21</v>
      </c>
      <c r="E13" s="29">
        <f>1639+1812+1793+1695+1862</f>
        <v>8801</v>
      </c>
      <c r="F13" s="29">
        <f>2035+2223+2207+2103+2249</f>
        <v>10817</v>
      </c>
      <c r="G13" s="30">
        <f t="shared" si="0"/>
        <v>180.28333333333333</v>
      </c>
      <c r="H13" s="30">
        <f t="shared" si="1"/>
        <v>146.68333333333334</v>
      </c>
      <c r="I13" s="27">
        <f t="shared" si="2"/>
        <v>60</v>
      </c>
    </row>
    <row r="14" spans="2:16" ht="21.75" thickBot="1" x14ac:dyDescent="0.3">
      <c r="B14" s="28">
        <v>10</v>
      </c>
      <c r="C14" s="29" t="s">
        <v>23</v>
      </c>
      <c r="D14" s="29">
        <f>1+6+2+3+7</f>
        <v>19</v>
      </c>
      <c r="E14" s="29">
        <f>1582+2006+1808+1901+1959</f>
        <v>9256</v>
      </c>
      <c r="F14" s="29">
        <f>1987+2309+2111+2210+2271</f>
        <v>10888</v>
      </c>
      <c r="G14" s="30">
        <f t="shared" si="0"/>
        <v>181.46666666666667</v>
      </c>
      <c r="H14" s="30">
        <f t="shared" si="1"/>
        <v>154.26666666666668</v>
      </c>
      <c r="I14" s="27">
        <f t="shared" si="2"/>
        <v>60</v>
      </c>
    </row>
    <row r="15" spans="2:16" ht="21.75" thickBot="1" x14ac:dyDescent="0.3">
      <c r="B15" s="28"/>
      <c r="C15" s="25" t="s">
        <v>89</v>
      </c>
      <c r="D15" s="29"/>
      <c r="E15" s="26">
        <f>SUM(E3:E14)</f>
        <v>95545</v>
      </c>
      <c r="F15" s="26">
        <f>SUM(F3:F14)</f>
        <v>111258</v>
      </c>
      <c r="G15" s="30" t="e">
        <f>F16/I16</f>
        <v>#DIV/0!</v>
      </c>
      <c r="H15" s="30" t="e">
        <f t="shared" ref="H15" si="3"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600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5</v>
      </c>
      <c r="F19" s="20" t="s">
        <v>78</v>
      </c>
      <c r="G19" s="21" t="s">
        <v>79</v>
      </c>
      <c r="H19" s="22">
        <f>SUM(H3)</f>
        <v>46295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204</v>
      </c>
      <c r="D21" s="29">
        <v>11</v>
      </c>
      <c r="E21" s="29">
        <v>2244</v>
      </c>
      <c r="F21" s="29">
        <v>2553</v>
      </c>
      <c r="G21" s="30">
        <f t="shared" ref="G21:G30" si="4">F21/I21</f>
        <v>212.75</v>
      </c>
      <c r="H21" s="30">
        <f t="shared" ref="H21:H30" si="5">E21/I21</f>
        <v>187</v>
      </c>
      <c r="I21" s="27">
        <v>12</v>
      </c>
    </row>
    <row r="22" spans="2:17" ht="21.75" thickBot="1" x14ac:dyDescent="0.3">
      <c r="B22" s="28">
        <v>2</v>
      </c>
      <c r="C22" s="29" t="s">
        <v>51</v>
      </c>
      <c r="D22" s="29">
        <v>10</v>
      </c>
      <c r="E22" s="29">
        <v>1975</v>
      </c>
      <c r="F22" s="29">
        <v>2341</v>
      </c>
      <c r="G22" s="30">
        <f t="shared" si="4"/>
        <v>195.08333333333334</v>
      </c>
      <c r="H22" s="30">
        <f t="shared" si="5"/>
        <v>164.58333333333334</v>
      </c>
      <c r="I22" s="27">
        <v>12</v>
      </c>
    </row>
    <row r="23" spans="2:17" ht="21.75" thickBot="1" x14ac:dyDescent="0.3">
      <c r="B23" s="28">
        <v>3</v>
      </c>
      <c r="C23" s="29" t="s">
        <v>30</v>
      </c>
      <c r="D23" s="29">
        <v>10</v>
      </c>
      <c r="E23" s="29">
        <v>2019</v>
      </c>
      <c r="F23" s="29">
        <v>2328</v>
      </c>
      <c r="G23" s="30">
        <f t="shared" si="4"/>
        <v>194</v>
      </c>
      <c r="H23" s="30">
        <f t="shared" si="5"/>
        <v>168.25</v>
      </c>
      <c r="I23" s="27">
        <v>12</v>
      </c>
    </row>
    <row r="24" spans="2:17" ht="21.75" thickBot="1" x14ac:dyDescent="0.3">
      <c r="B24" s="28">
        <v>4</v>
      </c>
      <c r="C24" s="29" t="s">
        <v>23</v>
      </c>
      <c r="D24" s="29">
        <v>7</v>
      </c>
      <c r="E24" s="29">
        <v>1959</v>
      </c>
      <c r="F24" s="29">
        <v>2271</v>
      </c>
      <c r="G24" s="30">
        <f t="shared" si="4"/>
        <v>189.25</v>
      </c>
      <c r="H24" s="30">
        <f t="shared" si="5"/>
        <v>163.25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58</v>
      </c>
      <c r="D25" s="29">
        <v>6</v>
      </c>
      <c r="E25" s="29">
        <v>1921</v>
      </c>
      <c r="F25" s="29">
        <v>2194</v>
      </c>
      <c r="G25" s="30">
        <f t="shared" si="4"/>
        <v>182.83333333333334</v>
      </c>
      <c r="H25" s="30">
        <f t="shared" si="5"/>
        <v>160.08333333333334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91</v>
      </c>
      <c r="D26" s="29">
        <v>5</v>
      </c>
      <c r="E26" s="29">
        <v>1862</v>
      </c>
      <c r="F26" s="29">
        <v>2249</v>
      </c>
      <c r="G26" s="30">
        <f t="shared" si="4"/>
        <v>187.41666666666666</v>
      </c>
      <c r="H26" s="30">
        <f t="shared" si="5"/>
        <v>155.16666666666666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206</v>
      </c>
      <c r="D27" s="29">
        <v>4</v>
      </c>
      <c r="E27" s="29">
        <v>1514</v>
      </c>
      <c r="F27" s="29">
        <v>2159</v>
      </c>
      <c r="G27" s="30">
        <f t="shared" si="4"/>
        <v>179.91666666666666</v>
      </c>
      <c r="H27" s="30">
        <f t="shared" si="5"/>
        <v>126.16666666666667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207</v>
      </c>
      <c r="D28" s="29">
        <v>3</v>
      </c>
      <c r="E28" s="29">
        <v>2280</v>
      </c>
      <c r="F28" s="29">
        <v>2280</v>
      </c>
      <c r="G28" s="30">
        <f t="shared" si="4"/>
        <v>190</v>
      </c>
      <c r="H28" s="30">
        <f t="shared" si="5"/>
        <v>190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144</v>
      </c>
      <c r="D29" s="29">
        <v>2</v>
      </c>
      <c r="E29" s="29">
        <v>1701</v>
      </c>
      <c r="F29" s="29">
        <v>2133</v>
      </c>
      <c r="G29" s="30">
        <f t="shared" si="4"/>
        <v>177.75</v>
      </c>
      <c r="H29" s="30">
        <f t="shared" si="5"/>
        <v>141.75</v>
      </c>
      <c r="I29" s="27">
        <v>12</v>
      </c>
    </row>
    <row r="30" spans="2:17" ht="21.75" thickBot="1" x14ac:dyDescent="0.3">
      <c r="B30" s="34">
        <v>10</v>
      </c>
      <c r="C30" s="29" t="s">
        <v>88</v>
      </c>
      <c r="D30" s="29">
        <v>1</v>
      </c>
      <c r="E30" s="29">
        <v>1632</v>
      </c>
      <c r="F30" s="29">
        <v>1914</v>
      </c>
      <c r="G30" s="30">
        <f t="shared" si="4"/>
        <v>159.5</v>
      </c>
      <c r="H30" s="30">
        <f t="shared" si="5"/>
        <v>136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19107</v>
      </c>
      <c r="F33" s="38">
        <f>SUM(F21:F32)</f>
        <v>22422</v>
      </c>
      <c r="G33" s="30">
        <f>F33/I33</f>
        <v>186.85</v>
      </c>
      <c r="H33" s="30">
        <f>E33/I33</f>
        <v>159.22499999999999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3"/>
  <sheetViews>
    <sheetView topLeftCell="A52" workbookViewId="0">
      <selection activeCell="A52" sqref="A1:XFD1048576"/>
    </sheetView>
  </sheetViews>
  <sheetFormatPr baseColWidth="10" defaultColWidth="13.140625" defaultRowHeight="23.2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x14ac:dyDescent="0.35">
      <c r="A2" s="5"/>
      <c r="B2" s="5"/>
      <c r="C2" s="6" t="s">
        <v>0</v>
      </c>
      <c r="D2" s="3">
        <v>6</v>
      </c>
      <c r="F2" s="5" t="s">
        <v>1</v>
      </c>
      <c r="G2" s="7">
        <v>46302</v>
      </c>
      <c r="H2" s="5"/>
      <c r="I2" s="8"/>
      <c r="J2" s="5"/>
      <c r="K2" s="5"/>
      <c r="M2" s="7"/>
    </row>
    <row r="4" spans="1:13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x14ac:dyDescent="0.35">
      <c r="A5" s="1" t="s">
        <v>13</v>
      </c>
      <c r="B5" s="1">
        <v>1</v>
      </c>
      <c r="C5" s="4" t="s">
        <v>14</v>
      </c>
      <c r="D5" s="2">
        <f>SUM(G5)/F5</f>
        <v>146.88888888888889</v>
      </c>
      <c r="E5" s="3">
        <f t="shared" ref="E5:E10" si="0">SUM(200-D5)*0.8</f>
        <v>42.488888888888894</v>
      </c>
      <c r="F5" s="1">
        <f>3+3+3+3+3+3</f>
        <v>18</v>
      </c>
      <c r="G5" s="1">
        <f>488+461+433+444+396+422</f>
        <v>2644</v>
      </c>
      <c r="H5" s="3">
        <f>584+557+517+531+483+548</f>
        <v>3220</v>
      </c>
      <c r="I5" s="2">
        <f>SUM(H5)/F5</f>
        <v>178.88888888888889</v>
      </c>
      <c r="J5" s="1">
        <v>488</v>
      </c>
      <c r="K5" s="1">
        <v>584</v>
      </c>
      <c r="L5" s="1">
        <v>167</v>
      </c>
      <c r="M5" s="1">
        <v>199</v>
      </c>
    </row>
    <row r="6" spans="1:13" x14ac:dyDescent="0.35">
      <c r="A6" s="1" t="s">
        <v>15</v>
      </c>
      <c r="B6" s="1">
        <v>2</v>
      </c>
      <c r="C6" s="4" t="s">
        <v>16</v>
      </c>
      <c r="D6" s="2">
        <f>SUM(G6)/F6</f>
        <v>165.06666666666666</v>
      </c>
      <c r="E6" s="3">
        <f t="shared" si="0"/>
        <v>27.946666666666673</v>
      </c>
      <c r="F6" s="1">
        <f>3+3+3+3+3</f>
        <v>15</v>
      </c>
      <c r="G6" s="1">
        <f>518+489+474+474+521</f>
        <v>2476</v>
      </c>
      <c r="H6" s="3">
        <f>569+543+528+528+611</f>
        <v>2779</v>
      </c>
      <c r="I6" s="2">
        <f>SUM(H6)/F6</f>
        <v>185.26666666666668</v>
      </c>
      <c r="J6" s="1">
        <v>521</v>
      </c>
      <c r="K6" s="1">
        <v>611</v>
      </c>
      <c r="L6" s="1">
        <v>217</v>
      </c>
      <c r="M6" s="1">
        <v>234</v>
      </c>
    </row>
    <row r="8" spans="1:13" x14ac:dyDescent="0.35">
      <c r="A8" s="1" t="s">
        <v>13</v>
      </c>
      <c r="B8" s="1">
        <v>4</v>
      </c>
      <c r="C8" s="4" t="s">
        <v>18</v>
      </c>
      <c r="D8" s="2">
        <f>SUM(G8)/F8</f>
        <v>132.19999999999999</v>
      </c>
      <c r="E8" s="3">
        <f t="shared" si="0"/>
        <v>54.240000000000009</v>
      </c>
      <c r="F8" s="1">
        <f>3+3+3+3+3</f>
        <v>15</v>
      </c>
      <c r="G8" s="1">
        <f>403+401+430+430+319</f>
        <v>1983</v>
      </c>
      <c r="H8" s="3">
        <f>511+512+544+544+433</f>
        <v>2544</v>
      </c>
      <c r="I8" s="2">
        <f>SUM(H8)/F8</f>
        <v>169.6</v>
      </c>
      <c r="J8" s="1">
        <v>430</v>
      </c>
      <c r="K8" s="1">
        <v>544</v>
      </c>
      <c r="L8" s="1">
        <v>175</v>
      </c>
      <c r="M8" s="1">
        <v>213</v>
      </c>
    </row>
    <row r="9" spans="1:13" x14ac:dyDescent="0.35">
      <c r="A9" s="1" t="s">
        <v>15</v>
      </c>
      <c r="B9" s="1">
        <v>5</v>
      </c>
      <c r="C9" s="4" t="s">
        <v>19</v>
      </c>
      <c r="D9" s="2">
        <f>SUM(G9)/F9</f>
        <v>173.06666666666666</v>
      </c>
      <c r="E9" s="3">
        <f t="shared" si="0"/>
        <v>21.54666666666667</v>
      </c>
      <c r="F9" s="1">
        <f>3+3+3+3+3</f>
        <v>15</v>
      </c>
      <c r="G9" s="1">
        <f>568+565+536+443+484</f>
        <v>2596</v>
      </c>
      <c r="H9" s="3">
        <f>595+592+563+470+541</f>
        <v>2761</v>
      </c>
      <c r="I9" s="2">
        <f>SUM(H9)/F9</f>
        <v>184.06666666666666</v>
      </c>
      <c r="J9" s="1">
        <v>568</v>
      </c>
      <c r="K9" s="1">
        <v>595</v>
      </c>
      <c r="L9" s="1">
        <v>201</v>
      </c>
      <c r="M9" s="1">
        <v>210</v>
      </c>
    </row>
    <row r="10" spans="1:13" x14ac:dyDescent="0.35">
      <c r="A10" s="1" t="s">
        <v>15</v>
      </c>
      <c r="B10" s="1">
        <v>6</v>
      </c>
      <c r="C10" s="4" t="s">
        <v>20</v>
      </c>
      <c r="D10" s="2">
        <f>SUM(G10)/F10</f>
        <v>183.66666666666666</v>
      </c>
      <c r="E10" s="3">
        <f t="shared" si="0"/>
        <v>13.066666666666675</v>
      </c>
      <c r="F10" s="1">
        <f>3+3+3</f>
        <v>9</v>
      </c>
      <c r="G10" s="1">
        <f>642+514+497</f>
        <v>1653</v>
      </c>
      <c r="H10" s="3">
        <f>714+580+515</f>
        <v>1809</v>
      </c>
      <c r="I10" s="2">
        <f>SUM(H10)/F10</f>
        <v>201</v>
      </c>
      <c r="J10" s="1">
        <v>642</v>
      </c>
      <c r="K10" s="1">
        <v>714</v>
      </c>
      <c r="L10" s="1">
        <v>246</v>
      </c>
      <c r="M10" s="1">
        <v>270</v>
      </c>
    </row>
    <row r="11" spans="1:13" x14ac:dyDescent="0.35">
      <c r="C11" s="4" t="s">
        <v>21</v>
      </c>
      <c r="D11" s="2" t="e">
        <f>SUM(G11)/F11</f>
        <v>#VALUE!</v>
      </c>
      <c r="F11" s="1" t="s">
        <v>230</v>
      </c>
      <c r="G11" s="1" t="s">
        <v>230</v>
      </c>
      <c r="H11" s="3" t="s">
        <v>230</v>
      </c>
      <c r="I11" s="2" t="e">
        <f>SUM(H11)/F11</f>
        <v>#VALUE!</v>
      </c>
    </row>
    <row r="12" spans="1:13" x14ac:dyDescent="0.35">
      <c r="C12" s="4"/>
      <c r="F12" s="12">
        <v>0</v>
      </c>
      <c r="G12" s="12"/>
      <c r="H12" s="13"/>
    </row>
    <row r="13" spans="1:13" x14ac:dyDescent="0.35">
      <c r="C13" s="14" t="s">
        <v>22</v>
      </c>
      <c r="D13" s="8">
        <f>SUM(G13)/F13</f>
        <v>157.66666666666666</v>
      </c>
      <c r="E13" s="10"/>
      <c r="F13" s="5">
        <f>SUM(F5:F12)</f>
        <v>72</v>
      </c>
      <c r="G13" s="15">
        <f>SUM(G5:G12)</f>
        <v>11352</v>
      </c>
      <c r="H13" s="10">
        <f>SUM(H5:H12)</f>
        <v>13113</v>
      </c>
      <c r="I13" s="8">
        <f>SUM(H13)/F13</f>
        <v>182.125</v>
      </c>
      <c r="J13" s="5"/>
      <c r="K13" s="5"/>
      <c r="L13" s="5"/>
      <c r="M13" s="5"/>
    </row>
    <row r="14" spans="1:13" x14ac:dyDescent="0.35">
      <c r="C14" s="4"/>
    </row>
    <row r="15" spans="1:13" x14ac:dyDescent="0.35">
      <c r="C15" s="4"/>
    </row>
    <row r="16" spans="1:13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x14ac:dyDescent="0.35">
      <c r="A17" s="1" t="s">
        <v>15</v>
      </c>
      <c r="B17" s="1">
        <v>1</v>
      </c>
      <c r="C17" s="11" t="s">
        <v>24</v>
      </c>
      <c r="D17" s="2">
        <f t="shared" ref="D17:D22" si="1">SUM(G17)/F17</f>
        <v>171.22222222222223</v>
      </c>
      <c r="E17" s="3">
        <f t="shared" ref="E17:E22" si="2">SUM(200-D17)*0.8</f>
        <v>23.022222222222219</v>
      </c>
      <c r="F17" s="1">
        <f>3+3+3+3+3+3</f>
        <v>18</v>
      </c>
      <c r="G17" s="1">
        <f>524+546+459+506+552+495</f>
        <v>3082</v>
      </c>
      <c r="H17" s="3">
        <f>560+585+498+548+594+561</f>
        <v>3346</v>
      </c>
      <c r="I17" s="2">
        <v>192.66</v>
      </c>
      <c r="J17" s="1">
        <v>552</v>
      </c>
      <c r="K17" s="1">
        <v>594</v>
      </c>
      <c r="L17" s="1">
        <v>199</v>
      </c>
      <c r="M17" s="1">
        <v>212</v>
      </c>
    </row>
    <row r="18" spans="1:17" x14ac:dyDescent="0.35">
      <c r="A18" s="1" t="s">
        <v>15</v>
      </c>
      <c r="B18" s="1">
        <v>2</v>
      </c>
      <c r="C18" s="4" t="s">
        <v>25</v>
      </c>
      <c r="D18" s="2">
        <f t="shared" si="1"/>
        <v>127.44444444444444</v>
      </c>
      <c r="E18" s="3">
        <f t="shared" si="2"/>
        <v>58.044444444444451</v>
      </c>
      <c r="F18" s="1">
        <f>3+3+3</f>
        <v>9</v>
      </c>
      <c r="G18" s="1">
        <f>341+424+382</f>
        <v>1147</v>
      </c>
      <c r="H18" s="3">
        <f>458+547+556</f>
        <v>1561</v>
      </c>
      <c r="I18" s="2">
        <v>192.9111111111111</v>
      </c>
      <c r="J18" s="1">
        <v>424</v>
      </c>
      <c r="K18" s="1">
        <v>547</v>
      </c>
      <c r="L18" s="1">
        <v>165</v>
      </c>
      <c r="M18" s="1">
        <v>206</v>
      </c>
      <c r="P18" s="1"/>
      <c r="Q18" s="3"/>
    </row>
    <row r="19" spans="1:17" x14ac:dyDescent="0.35">
      <c r="A19" s="1" t="s">
        <v>15</v>
      </c>
      <c r="B19" s="1">
        <v>3</v>
      </c>
      <c r="C19" s="4" t="s">
        <v>223</v>
      </c>
      <c r="D19" s="2">
        <f t="shared" si="1"/>
        <v>174.22222222222223</v>
      </c>
      <c r="E19" s="3">
        <f t="shared" si="2"/>
        <v>20.62222222222222</v>
      </c>
      <c r="F19" s="1">
        <f>3+3+3</f>
        <v>9</v>
      </c>
      <c r="G19" s="1">
        <f>538+491+539</f>
        <v>1568</v>
      </c>
      <c r="H19" s="3">
        <f>613+563+614</f>
        <v>1790</v>
      </c>
      <c r="I19" s="2">
        <f t="shared" ref="I19:I24" si="3">SUM(H19)/F19</f>
        <v>198.88888888888889</v>
      </c>
      <c r="J19" s="1">
        <v>539</v>
      </c>
      <c r="K19" s="1">
        <v>614</v>
      </c>
      <c r="L19" s="1">
        <v>184</v>
      </c>
      <c r="M19" s="1">
        <v>209</v>
      </c>
      <c r="P19" s="1"/>
      <c r="Q19" s="3"/>
    </row>
    <row r="20" spans="1:17" x14ac:dyDescent="0.35">
      <c r="A20" s="1" t="s">
        <v>13</v>
      </c>
      <c r="B20" s="1">
        <v>4</v>
      </c>
      <c r="C20" s="4" t="s">
        <v>26</v>
      </c>
      <c r="D20" s="2">
        <f t="shared" si="1"/>
        <v>123.66666666666667</v>
      </c>
      <c r="E20" s="3">
        <f t="shared" si="2"/>
        <v>61.066666666666663</v>
      </c>
      <c r="F20" s="1">
        <f>3+3+3+3+3</f>
        <v>15</v>
      </c>
      <c r="G20" s="1">
        <f>304+428+363+414+346</f>
        <v>1855</v>
      </c>
      <c r="H20" s="3">
        <f>436+566+501+552+523</f>
        <v>2578</v>
      </c>
      <c r="I20" s="2">
        <f t="shared" si="3"/>
        <v>171.86666666666667</v>
      </c>
      <c r="J20" s="1">
        <v>428</v>
      </c>
      <c r="K20" s="1">
        <v>566</v>
      </c>
      <c r="L20" s="1">
        <v>154</v>
      </c>
      <c r="M20" s="1">
        <v>200</v>
      </c>
      <c r="P20" s="1"/>
      <c r="Q20" s="3"/>
    </row>
    <row r="21" spans="1:17" x14ac:dyDescent="0.35">
      <c r="A21" s="1" t="s">
        <v>13</v>
      </c>
      <c r="B21" s="1">
        <v>5</v>
      </c>
      <c r="C21" s="4" t="s">
        <v>27</v>
      </c>
      <c r="D21" s="2">
        <f t="shared" si="1"/>
        <v>137.66666666666666</v>
      </c>
      <c r="E21" s="3">
        <f t="shared" si="2"/>
        <v>49.866666666666674</v>
      </c>
      <c r="F21" s="1">
        <f>3</f>
        <v>3</v>
      </c>
      <c r="G21" s="1">
        <f>413</f>
        <v>413</v>
      </c>
      <c r="H21" s="3">
        <f>533</f>
        <v>533</v>
      </c>
      <c r="I21" s="2">
        <f t="shared" si="3"/>
        <v>177.66666666666666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x14ac:dyDescent="0.35">
      <c r="A22" s="1" t="s">
        <v>15</v>
      </c>
      <c r="B22" s="1">
        <v>6</v>
      </c>
      <c r="C22" s="11" t="s">
        <v>28</v>
      </c>
      <c r="D22" s="2">
        <f t="shared" si="1"/>
        <v>158.66666666666666</v>
      </c>
      <c r="E22" s="3">
        <f t="shared" si="2"/>
        <v>33.066666666666677</v>
      </c>
      <c r="F22" s="1">
        <f>3+3+3+3+3</f>
        <v>15</v>
      </c>
      <c r="G22" s="1">
        <f>494+495+441+500+450</f>
        <v>2380</v>
      </c>
      <c r="H22" s="3">
        <f>545+549+495+554+543</f>
        <v>2686</v>
      </c>
      <c r="I22" s="2">
        <f t="shared" si="3"/>
        <v>179.06666666666666</v>
      </c>
      <c r="J22" s="1">
        <v>500</v>
      </c>
      <c r="K22" s="1">
        <v>554</v>
      </c>
      <c r="L22" s="1">
        <v>230</v>
      </c>
      <c r="M22" s="1">
        <v>248</v>
      </c>
    </row>
    <row r="23" spans="1:17" x14ac:dyDescent="0.35">
      <c r="A23" s="1" t="s">
        <v>15</v>
      </c>
      <c r="B23" s="1">
        <v>7</v>
      </c>
      <c r="C23" s="4" t="s">
        <v>229</v>
      </c>
      <c r="D23" s="1">
        <f>SUM(G23)/F23</f>
        <v>161</v>
      </c>
      <c r="E23" s="155">
        <f>SUM(200-D23)*0.8</f>
        <v>31.200000000000003</v>
      </c>
      <c r="F23" s="1">
        <f>3</f>
        <v>3</v>
      </c>
      <c r="G23" s="1">
        <f>483</f>
        <v>483</v>
      </c>
      <c r="H23" s="1">
        <f>576</f>
        <v>576</v>
      </c>
      <c r="I23" s="1">
        <f t="shared" si="3"/>
        <v>192</v>
      </c>
      <c r="J23" s="1">
        <v>483</v>
      </c>
      <c r="K23" s="1">
        <v>576</v>
      </c>
      <c r="L23" s="1">
        <v>177</v>
      </c>
      <c r="M23" s="1">
        <v>208</v>
      </c>
    </row>
    <row r="24" spans="1:17" x14ac:dyDescent="0.35">
      <c r="C24" s="4" t="s">
        <v>21</v>
      </c>
      <c r="D24" s="2" t="e">
        <f>SUM(G24)/F24</f>
        <v>#VALUE!</v>
      </c>
      <c r="F24" s="1" t="s">
        <v>230</v>
      </c>
      <c r="G24" s="1" t="s">
        <v>230</v>
      </c>
      <c r="H24" s="3" t="s">
        <v>230</v>
      </c>
      <c r="I24" s="2" t="e">
        <f t="shared" si="3"/>
        <v>#VALUE!</v>
      </c>
    </row>
    <row r="25" spans="1:17" x14ac:dyDescent="0.35">
      <c r="C25" s="14" t="s">
        <v>22</v>
      </c>
      <c r="D25" s="8">
        <f>SUM(G25)/F25</f>
        <v>151.77777777777777</v>
      </c>
      <c r="E25" s="10"/>
      <c r="F25" s="5">
        <f>SUM(F17:F24)</f>
        <v>72</v>
      </c>
      <c r="G25" s="15">
        <f>SUM(G17:G24)</f>
        <v>10928</v>
      </c>
      <c r="H25" s="10">
        <f>SUM(H17:H24)</f>
        <v>13070</v>
      </c>
      <c r="I25" s="8"/>
      <c r="J25" s="5"/>
      <c r="K25" s="5"/>
      <c r="L25" s="5"/>
      <c r="M25" s="5"/>
    </row>
    <row r="26" spans="1:17" x14ac:dyDescent="0.35">
      <c r="C26" s="4"/>
    </row>
    <row r="27" spans="1:17" x14ac:dyDescent="0.35">
      <c r="B27" s="9"/>
      <c r="C27" s="4"/>
    </row>
    <row r="28" spans="1:17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x14ac:dyDescent="0.35">
      <c r="A29" s="1" t="s">
        <v>15</v>
      </c>
      <c r="B29" s="1">
        <v>1</v>
      </c>
      <c r="C29" s="4" t="s">
        <v>47</v>
      </c>
      <c r="D29" s="2">
        <f t="shared" ref="D29:D34" si="4">SUM(G29)/F29</f>
        <v>177.16666666666666</v>
      </c>
      <c r="E29" s="3">
        <f t="shared" ref="E29:E34" si="5">SUM(200-D29)*0.8</f>
        <v>18.266666666666676</v>
      </c>
      <c r="F29" s="1">
        <f>3+3+3+3+3+3</f>
        <v>18</v>
      </c>
      <c r="G29" s="1">
        <f>553+492+512+512+593+527</f>
        <v>3189</v>
      </c>
      <c r="H29" s="3">
        <f>604+546+566+566+647+581</f>
        <v>3510</v>
      </c>
      <c r="I29" s="2">
        <f t="shared" ref="I29:I34" si="6">SUM(H29)/F29</f>
        <v>195</v>
      </c>
      <c r="J29" s="1">
        <v>593</v>
      </c>
      <c r="K29" s="1">
        <v>647</v>
      </c>
      <c r="L29" s="1">
        <v>231</v>
      </c>
      <c r="M29" s="1">
        <v>248</v>
      </c>
    </row>
    <row r="30" spans="1:17" x14ac:dyDescent="0.35">
      <c r="A30" s="1" t="s">
        <v>15</v>
      </c>
      <c r="B30" s="1">
        <v>2</v>
      </c>
      <c r="C30" s="4" t="s">
        <v>145</v>
      </c>
      <c r="D30" s="2">
        <f t="shared" si="4"/>
        <v>83.25</v>
      </c>
      <c r="E30" s="3">
        <f t="shared" si="5"/>
        <v>93.4</v>
      </c>
      <c r="F30" s="1">
        <f>3+3+3+3</f>
        <v>12</v>
      </c>
      <c r="G30" s="1">
        <f>308+215+242+234</f>
        <v>999</v>
      </c>
      <c r="H30" s="3">
        <f>500+407+434+426</f>
        <v>1767</v>
      </c>
      <c r="I30" s="2">
        <f t="shared" si="6"/>
        <v>147.25</v>
      </c>
      <c r="J30" s="1">
        <v>308</v>
      </c>
      <c r="K30" s="1">
        <v>500</v>
      </c>
      <c r="L30" s="1">
        <v>112</v>
      </c>
      <c r="M30" s="1">
        <v>176</v>
      </c>
    </row>
    <row r="31" spans="1:17" x14ac:dyDescent="0.35">
      <c r="A31" s="1" t="s">
        <v>13</v>
      </c>
      <c r="B31" s="1">
        <v>3</v>
      </c>
      <c r="C31" s="4" t="s">
        <v>146</v>
      </c>
      <c r="D31" s="2">
        <f t="shared" si="4"/>
        <v>127.58333333333333</v>
      </c>
      <c r="E31" s="3">
        <f t="shared" si="5"/>
        <v>57.933333333333337</v>
      </c>
      <c r="F31" s="1">
        <f>3+3+3+3</f>
        <v>12</v>
      </c>
      <c r="G31" s="1">
        <f>332+408+356+435</f>
        <v>1531</v>
      </c>
      <c r="H31" s="3">
        <f>524+600+542+621</f>
        <v>2287</v>
      </c>
      <c r="I31" s="2">
        <f t="shared" si="6"/>
        <v>190.58333333333334</v>
      </c>
      <c r="J31" s="1">
        <v>435</v>
      </c>
      <c r="K31" s="1">
        <v>621</v>
      </c>
      <c r="L31" s="1">
        <v>173</v>
      </c>
      <c r="M31" s="1">
        <v>235</v>
      </c>
    </row>
    <row r="32" spans="1:17" x14ac:dyDescent="0.35">
      <c r="A32" s="1" t="s">
        <v>15</v>
      </c>
      <c r="B32" s="1">
        <v>4</v>
      </c>
      <c r="C32" s="11" t="s">
        <v>43</v>
      </c>
      <c r="D32" s="2">
        <f t="shared" si="4"/>
        <v>185.6</v>
      </c>
      <c r="E32" s="3">
        <f t="shared" si="5"/>
        <v>11.520000000000005</v>
      </c>
      <c r="F32" s="1">
        <f>3+3+3+3+3</f>
        <v>15</v>
      </c>
      <c r="G32" s="1">
        <f>572+539+544+510+619</f>
        <v>2784</v>
      </c>
      <c r="H32" s="3">
        <f>572+539+544+510+667</f>
        <v>2832</v>
      </c>
      <c r="I32" s="2">
        <f t="shared" si="6"/>
        <v>188.8</v>
      </c>
      <c r="J32" s="1">
        <v>619</v>
      </c>
      <c r="K32" s="1">
        <v>667</v>
      </c>
      <c r="L32" s="1">
        <v>237</v>
      </c>
      <c r="M32" s="1">
        <v>253</v>
      </c>
    </row>
    <row r="33" spans="1:13" x14ac:dyDescent="0.35">
      <c r="A33" s="1" t="s">
        <v>15</v>
      </c>
      <c r="B33" s="1">
        <v>5</v>
      </c>
      <c r="C33" s="4" t="s">
        <v>40</v>
      </c>
      <c r="D33" s="2">
        <f t="shared" si="4"/>
        <v>204.5</v>
      </c>
      <c r="E33" s="3">
        <f t="shared" si="5"/>
        <v>-3.6</v>
      </c>
      <c r="F33" s="1">
        <f>3+3</f>
        <v>6</v>
      </c>
      <c r="G33" s="1">
        <f>612+615</f>
        <v>1227</v>
      </c>
      <c r="H33" s="3">
        <f>612+615</f>
        <v>1227</v>
      </c>
      <c r="I33" s="2">
        <f t="shared" si="6"/>
        <v>204.5</v>
      </c>
      <c r="J33" s="1">
        <v>615</v>
      </c>
      <c r="K33" s="1">
        <v>615</v>
      </c>
      <c r="L33" s="1">
        <v>232</v>
      </c>
      <c r="M33" s="1">
        <v>232</v>
      </c>
    </row>
    <row r="34" spans="1:13" x14ac:dyDescent="0.35">
      <c r="A34" s="1" t="s">
        <v>15</v>
      </c>
      <c r="B34" s="1">
        <v>6</v>
      </c>
      <c r="C34" s="4" t="s">
        <v>41</v>
      </c>
      <c r="D34" s="2">
        <f t="shared" si="4"/>
        <v>187.16666666666666</v>
      </c>
      <c r="E34" s="3">
        <f t="shared" si="5"/>
        <v>10.266666666666675</v>
      </c>
      <c r="F34" s="1">
        <f>3+3</f>
        <v>6</v>
      </c>
      <c r="G34" s="1">
        <f>572+551</f>
        <v>1123</v>
      </c>
      <c r="H34" s="3">
        <f>572+551</f>
        <v>1123</v>
      </c>
      <c r="I34" s="2">
        <f t="shared" si="6"/>
        <v>187.16666666666666</v>
      </c>
      <c r="J34" s="1">
        <v>572</v>
      </c>
      <c r="K34" s="1">
        <v>572</v>
      </c>
      <c r="L34" s="1">
        <v>225</v>
      </c>
      <c r="M34" s="1">
        <v>225</v>
      </c>
    </row>
    <row r="35" spans="1:13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x14ac:dyDescent="0.35">
      <c r="C36" s="4"/>
      <c r="F36" s="12"/>
      <c r="G36" s="12"/>
      <c r="H36" s="13"/>
    </row>
    <row r="37" spans="1:13" x14ac:dyDescent="0.35">
      <c r="C37" s="14" t="s">
        <v>22</v>
      </c>
      <c r="D37" s="8">
        <f>SUM(G37)/F37</f>
        <v>158.73611111111111</v>
      </c>
      <c r="E37" s="10"/>
      <c r="F37" s="5">
        <f>SUM(F29:F36)</f>
        <v>72</v>
      </c>
      <c r="G37" s="5">
        <f>SUM(G29:G36)</f>
        <v>11429</v>
      </c>
      <c r="H37" s="16">
        <f>SUM(H29:H36)</f>
        <v>13322</v>
      </c>
      <c r="I37" s="8">
        <f>SUM(H37)/F37</f>
        <v>185.02777777777777</v>
      </c>
      <c r="J37" s="5"/>
      <c r="K37" s="5"/>
      <c r="L37" s="5"/>
      <c r="M37" s="5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x14ac:dyDescent="0.35">
      <c r="C41" s="4"/>
    </row>
    <row r="42" spans="1:13" x14ac:dyDescent="0.35">
      <c r="A42" s="1" t="s">
        <v>15</v>
      </c>
      <c r="B42" s="1">
        <v>1</v>
      </c>
      <c r="C42" s="4" t="s">
        <v>31</v>
      </c>
      <c r="D42" s="2">
        <f t="shared" ref="D42:D47" si="7">SUM(G42)/F42</f>
        <v>175.2</v>
      </c>
      <c r="E42" s="3">
        <f t="shared" ref="E42:E47" si="8">SUM(200-D42)*0.8</f>
        <v>19.840000000000011</v>
      </c>
      <c r="F42" s="1">
        <f>3+3+3+3+3</f>
        <v>15</v>
      </c>
      <c r="G42" s="1">
        <f>546+482+514+545+541</f>
        <v>2628</v>
      </c>
      <c r="H42" s="3">
        <f>606+539+574+605+601</f>
        <v>2925</v>
      </c>
      <c r="I42" s="2">
        <f>SUM(H42)/F42</f>
        <v>195</v>
      </c>
      <c r="J42" s="1">
        <v>546</v>
      </c>
      <c r="K42" s="1">
        <v>606</v>
      </c>
      <c r="L42" s="1">
        <v>203</v>
      </c>
      <c r="M42" s="1">
        <v>223</v>
      </c>
    </row>
    <row r="43" spans="1:13" x14ac:dyDescent="0.35">
      <c r="A43" s="1" t="s">
        <v>15</v>
      </c>
      <c r="B43" s="1">
        <v>2</v>
      </c>
      <c r="C43" s="4" t="s">
        <v>32</v>
      </c>
      <c r="D43" s="2">
        <f t="shared" si="7"/>
        <v>148.06666666666666</v>
      </c>
      <c r="E43" s="3">
        <f t="shared" si="8"/>
        <v>41.546666666666674</v>
      </c>
      <c r="F43" s="1">
        <f>3+3+3+3+3</f>
        <v>15</v>
      </c>
      <c r="G43" s="1">
        <f>475+468+417+443+418</f>
        <v>2221</v>
      </c>
      <c r="H43" s="3">
        <f>556+549+501+530+538</f>
        <v>2674</v>
      </c>
      <c r="I43" s="2">
        <f>SUM(H43)/F43</f>
        <v>178.26666666666668</v>
      </c>
      <c r="J43" s="1">
        <v>475</v>
      </c>
      <c r="K43" s="1">
        <v>556</v>
      </c>
      <c r="L43" s="1">
        <v>197</v>
      </c>
      <c r="M43" s="1">
        <v>224</v>
      </c>
    </row>
    <row r="44" spans="1:13" x14ac:dyDescent="0.35">
      <c r="A44" s="1" t="s">
        <v>15</v>
      </c>
      <c r="B44" s="1">
        <v>3</v>
      </c>
      <c r="C44" s="11" t="s">
        <v>33</v>
      </c>
      <c r="D44" s="2">
        <f t="shared" si="7"/>
        <v>165.86666666666667</v>
      </c>
      <c r="E44" s="3">
        <f t="shared" si="8"/>
        <v>27.306666666666661</v>
      </c>
      <c r="F44" s="1">
        <f>3+3+3+3+3</f>
        <v>15</v>
      </c>
      <c r="G44" s="1">
        <f>484+533+481+454+536</f>
        <v>2488</v>
      </c>
      <c r="H44" s="3">
        <f>559+611+556+532+626</f>
        <v>2884</v>
      </c>
      <c r="I44" s="2">
        <f>SUM(H44)/F44</f>
        <v>192.26666666666668</v>
      </c>
      <c r="J44" s="1">
        <v>536</v>
      </c>
      <c r="K44" s="1">
        <v>626</v>
      </c>
      <c r="L44" s="1">
        <v>202</v>
      </c>
      <c r="M44" s="1">
        <v>232</v>
      </c>
    </row>
    <row r="45" spans="1:13" x14ac:dyDescent="0.35">
      <c r="A45" s="1" t="s">
        <v>15</v>
      </c>
      <c r="B45" s="1">
        <v>4</v>
      </c>
      <c r="C45" s="11" t="s">
        <v>29</v>
      </c>
      <c r="D45" s="2">
        <f t="shared" si="7"/>
        <v>172.06666666666666</v>
      </c>
      <c r="E45" s="3">
        <f>SUM(200-D45)*0.8</f>
        <v>22.346666666666671</v>
      </c>
      <c r="F45" s="1">
        <f>3+3+3+3+3</f>
        <v>15</v>
      </c>
      <c r="G45" s="1">
        <f>452+518+651+493+467</f>
        <v>2581</v>
      </c>
      <c r="H45" s="3">
        <f>509+575+708+547+524</f>
        <v>2863</v>
      </c>
      <c r="I45" s="2">
        <f>SUM(H45)/F45</f>
        <v>190.86666666666667</v>
      </c>
      <c r="J45" s="1">
        <v>651</v>
      </c>
      <c r="K45" s="1">
        <v>708</v>
      </c>
      <c r="L45" s="1">
        <v>225</v>
      </c>
      <c r="M45" s="1">
        <v>244</v>
      </c>
    </row>
    <row r="46" spans="1:13" x14ac:dyDescent="0.35">
      <c r="A46" s="1" t="s">
        <v>15</v>
      </c>
      <c r="B46" s="1">
        <v>5</v>
      </c>
      <c r="C46" s="4" t="s">
        <v>34</v>
      </c>
      <c r="D46" s="2">
        <f t="shared" si="7"/>
        <v>166.55555555555554</v>
      </c>
      <c r="E46" s="3">
        <f t="shared" si="8"/>
        <v>26.755555555555567</v>
      </c>
      <c r="F46" s="1">
        <f>3+3+3</f>
        <v>9</v>
      </c>
      <c r="G46" s="1">
        <f>440+531+528</f>
        <v>1499</v>
      </c>
      <c r="H46" s="1">
        <f>563+648+618</f>
        <v>1829</v>
      </c>
      <c r="I46" s="2">
        <f t="shared" ref="I46:I51" si="9">SUM(H46)/F46</f>
        <v>203.22222222222223</v>
      </c>
      <c r="J46" s="1">
        <v>531</v>
      </c>
      <c r="K46" s="1">
        <v>648</v>
      </c>
      <c r="L46" s="1">
        <v>223</v>
      </c>
      <c r="M46" s="1">
        <v>253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7"/>
        <v>116</v>
      </c>
      <c r="E47" s="3">
        <f t="shared" si="8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5">
      <c r="C50" s="4" t="s">
        <v>21</v>
      </c>
      <c r="D50" s="2" t="e">
        <f>SUM(G50)/F50</f>
        <v>#VALUE!</v>
      </c>
      <c r="F50" s="1" t="s">
        <v>230</v>
      </c>
      <c r="G50" s="1" t="s">
        <v>230</v>
      </c>
      <c r="H50" s="3" t="s">
        <v>230</v>
      </c>
      <c r="I50" s="2" t="e">
        <f t="shared" si="9"/>
        <v>#VALUE!</v>
      </c>
      <c r="J50" s="4"/>
      <c r="K50" s="4"/>
      <c r="L50" s="4"/>
      <c r="M50" s="4"/>
    </row>
    <row r="51" spans="1:13" x14ac:dyDescent="0.35">
      <c r="C51" s="14" t="s">
        <v>22</v>
      </c>
      <c r="D51" s="8">
        <f>SUM(G51)/F51</f>
        <v>163.40277777777777</v>
      </c>
      <c r="E51" s="10"/>
      <c r="F51" s="5">
        <f>SUM(F42:F50)</f>
        <v>72</v>
      </c>
      <c r="G51" s="5">
        <f>SUM(G41:G50)</f>
        <v>11765</v>
      </c>
      <c r="H51" s="16">
        <f>SUM(H41:H50)</f>
        <v>13715</v>
      </c>
      <c r="I51" s="8">
        <f t="shared" si="9"/>
        <v>190.48611111111111</v>
      </c>
      <c r="J51" s="5"/>
      <c r="K51" s="5"/>
      <c r="L51" s="5"/>
      <c r="M51" s="5"/>
    </row>
    <row r="52" spans="1:13" x14ac:dyDescent="0.35">
      <c r="C52" s="4"/>
    </row>
    <row r="53" spans="1:13" x14ac:dyDescent="0.35">
      <c r="B53" s="9"/>
      <c r="C53" s="4"/>
    </row>
    <row r="54" spans="1:13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5">
      <c r="A59" s="1" t="s">
        <v>15</v>
      </c>
      <c r="B59" s="1">
        <v>1</v>
      </c>
      <c r="C59" s="11" t="s">
        <v>135</v>
      </c>
      <c r="D59" s="2">
        <f>SUM(G59)/F59</f>
        <v>151.27777777777777</v>
      </c>
      <c r="E59" s="3">
        <f>SUM(200-D59)*0.8</f>
        <v>38.977777777777789</v>
      </c>
      <c r="F59" s="1">
        <f>3+3+3+3+3+3</f>
        <v>18</v>
      </c>
      <c r="G59" s="1">
        <f>441+473+481+431+479+418</f>
        <v>2723</v>
      </c>
      <c r="H59" s="3">
        <f>546+578+586+536+587+529</f>
        <v>3362</v>
      </c>
      <c r="I59" s="2">
        <f>SUM(H59)/F59</f>
        <v>186.77777777777777</v>
      </c>
      <c r="J59" s="1">
        <v>481</v>
      </c>
      <c r="K59" s="1">
        <v>587</v>
      </c>
      <c r="L59" s="1">
        <v>196</v>
      </c>
      <c r="M59" s="1">
        <v>231</v>
      </c>
    </row>
    <row r="60" spans="1:13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x14ac:dyDescent="0.35">
      <c r="A61" s="1" t="s">
        <v>15</v>
      </c>
      <c r="B61" s="1">
        <v>3</v>
      </c>
      <c r="C61" s="11" t="s">
        <v>202</v>
      </c>
      <c r="D61" s="2">
        <f>SUM(G61)/F61</f>
        <v>119.05555555555556</v>
      </c>
      <c r="E61" s="3">
        <f>SUM(200-D61)*0.8</f>
        <v>64.75555555555556</v>
      </c>
      <c r="F61" s="1">
        <f>3+3+3+3+3+3</f>
        <v>18</v>
      </c>
      <c r="G61" s="1">
        <f>319+353+315+373+342+441</f>
        <v>2143</v>
      </c>
      <c r="H61" s="3">
        <f>511+542+507+565+534+633</f>
        <v>3292</v>
      </c>
      <c r="I61" s="2">
        <f>SUM(H61)/F61</f>
        <v>182.88888888888889</v>
      </c>
      <c r="J61" s="1">
        <v>441</v>
      </c>
      <c r="K61" s="1">
        <v>633</v>
      </c>
      <c r="L61" s="1">
        <v>162</v>
      </c>
      <c r="M61" s="1">
        <v>226</v>
      </c>
    </row>
    <row r="62" spans="1:13" x14ac:dyDescent="0.35">
      <c r="A62" s="1" t="s">
        <v>13</v>
      </c>
      <c r="B62" s="1">
        <v>4</v>
      </c>
      <c r="C62" s="11" t="s">
        <v>203</v>
      </c>
      <c r="D62" s="2">
        <f>SUM(G62)/F62</f>
        <v>116.5</v>
      </c>
      <c r="E62" s="3">
        <f>SUM(200-D62)*0.8</f>
        <v>66.8</v>
      </c>
      <c r="F62" s="1">
        <f>3+3+3+3</f>
        <v>12</v>
      </c>
      <c r="G62" s="1">
        <f>354+364+364+316</f>
        <v>1398</v>
      </c>
      <c r="H62" s="3">
        <f>546+556+556+508</f>
        <v>2166</v>
      </c>
      <c r="I62" s="2">
        <f>SUM(H62)/F62</f>
        <v>180.5</v>
      </c>
      <c r="J62" s="1">
        <v>364</v>
      </c>
      <c r="K62" s="1">
        <v>556</v>
      </c>
      <c r="L62" s="1">
        <v>139</v>
      </c>
      <c r="M62" s="1">
        <v>203</v>
      </c>
    </row>
    <row r="63" spans="1:13" x14ac:dyDescent="0.35">
      <c r="A63" s="1" t="s">
        <v>13</v>
      </c>
      <c r="B63" s="1">
        <v>5</v>
      </c>
      <c r="C63" s="11" t="s">
        <v>136</v>
      </c>
      <c r="D63" s="2">
        <f>SUM(G63)/F63</f>
        <v>121</v>
      </c>
      <c r="E63" s="3">
        <f>SUM(200-D63)*0.8</f>
        <v>63.2</v>
      </c>
      <c r="F63" s="1">
        <f>3+3+3+3+3</f>
        <v>15</v>
      </c>
      <c r="G63" s="1">
        <f>362+342+349+377+385</f>
        <v>1815</v>
      </c>
      <c r="H63" s="3">
        <f>497+483+499+530+577</f>
        <v>2586</v>
      </c>
      <c r="I63" s="2">
        <f>SUM(H63)/F63</f>
        <v>172.4</v>
      </c>
      <c r="J63" s="1">
        <v>385</v>
      </c>
      <c r="K63" s="1">
        <v>577</v>
      </c>
      <c r="L63" s="1">
        <v>142</v>
      </c>
      <c r="M63" s="1">
        <v>206</v>
      </c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x14ac:dyDescent="0.35">
      <c r="C66" s="4" t="s">
        <v>21</v>
      </c>
      <c r="F66" s="1">
        <f>3+3</f>
        <v>6</v>
      </c>
      <c r="G66" s="1">
        <f>330+321</f>
        <v>651</v>
      </c>
      <c r="H66" s="3">
        <f>522+513</f>
        <v>1035</v>
      </c>
      <c r="O66" s="144"/>
    </row>
    <row r="67" spans="1:18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x14ac:dyDescent="0.35">
      <c r="C68" s="14" t="s">
        <v>22</v>
      </c>
      <c r="D68" s="8">
        <f>SUM(G68)/F68</f>
        <v>126.63888888888889</v>
      </c>
      <c r="E68" s="10"/>
      <c r="F68" s="5">
        <f>SUM(F59:F66)</f>
        <v>72</v>
      </c>
      <c r="G68" s="5">
        <f>SUM(G59:G66)</f>
        <v>9118</v>
      </c>
      <c r="H68" s="10">
        <f>SUM(H59:H66)</f>
        <v>13000</v>
      </c>
      <c r="I68" s="8">
        <f>SUM(H68)/F68</f>
        <v>180.55555555555554</v>
      </c>
    </row>
    <row r="69" spans="1:18" x14ac:dyDescent="0.35">
      <c r="C69" s="14"/>
      <c r="D69" s="8"/>
      <c r="E69" s="10"/>
      <c r="F69" s="5"/>
      <c r="G69" s="5"/>
      <c r="H69" s="10"/>
      <c r="I69" s="8"/>
    </row>
    <row r="70" spans="1:18" x14ac:dyDescent="0.35">
      <c r="B70" s="9"/>
      <c r="C70" s="14"/>
      <c r="D70" s="8"/>
      <c r="E70" s="10"/>
      <c r="F70" s="5"/>
      <c r="G70" s="5"/>
      <c r="H70" s="10"/>
      <c r="I70" s="8"/>
    </row>
    <row r="71" spans="1:18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x14ac:dyDescent="0.35">
      <c r="A72" s="1" t="s">
        <v>13</v>
      </c>
      <c r="B72" s="1">
        <v>1</v>
      </c>
      <c r="C72" s="4" t="s">
        <v>45</v>
      </c>
      <c r="D72" s="2">
        <f>SUM(G72)/F72</f>
        <v>130.33333333333334</v>
      </c>
      <c r="E72" s="3">
        <f>SUM(200-D72)*0.8</f>
        <v>55.733333333333327</v>
      </c>
      <c r="F72" s="1">
        <f>3+3+3</f>
        <v>9</v>
      </c>
      <c r="G72" s="1">
        <f>367+435+371</f>
        <v>1173</v>
      </c>
      <c r="H72" s="3">
        <f>478+549+485</f>
        <v>1512</v>
      </c>
      <c r="I72" s="2">
        <f>SUM(H72)/F72</f>
        <v>168</v>
      </c>
      <c r="J72" s="1">
        <v>435</v>
      </c>
      <c r="K72" s="1">
        <v>549</v>
      </c>
      <c r="L72" s="1">
        <v>171</v>
      </c>
      <c r="M72" s="1">
        <v>209</v>
      </c>
    </row>
    <row r="73" spans="1:18" x14ac:dyDescent="0.35">
      <c r="A73" s="1" t="s">
        <v>15</v>
      </c>
      <c r="B73" s="1">
        <v>2</v>
      </c>
      <c r="C73" s="4" t="s">
        <v>46</v>
      </c>
      <c r="D73" s="2">
        <f>SUM(G73)/F73</f>
        <v>146.33333333333334</v>
      </c>
      <c r="E73" s="3">
        <f>SUM(200-D73)*0.8</f>
        <v>42.93333333333333</v>
      </c>
      <c r="F73" s="1">
        <f>3+3+3+3+3</f>
        <v>15</v>
      </c>
      <c r="G73" s="1">
        <f>411+467+463+425+429</f>
        <v>2195</v>
      </c>
      <c r="H73" s="3">
        <f>498+557+556+518+555</f>
        <v>2684</v>
      </c>
      <c r="I73" s="2">
        <f>SUM(H73)/F73</f>
        <v>178.93333333333334</v>
      </c>
      <c r="J73" s="1">
        <v>467</v>
      </c>
      <c r="K73" s="1">
        <v>557</v>
      </c>
      <c r="L73" s="1">
        <v>183</v>
      </c>
      <c r="M73" s="1">
        <v>213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127.5</v>
      </c>
      <c r="E74" s="3">
        <f>SUM(200-D74)*0.8</f>
        <v>58</v>
      </c>
      <c r="F74" s="1">
        <f>3+3+3+3</f>
        <v>12</v>
      </c>
      <c r="G74" s="1">
        <f>388+361+376+405</f>
        <v>1530</v>
      </c>
      <c r="H74" s="3">
        <f>493+469+490+585</f>
        <v>2037</v>
      </c>
      <c r="I74" s="2">
        <f>SUM(H74)/F74</f>
        <v>169.75</v>
      </c>
      <c r="J74" s="1">
        <v>405</v>
      </c>
      <c r="K74" s="1">
        <v>585</v>
      </c>
      <c r="L74" s="1">
        <v>167</v>
      </c>
      <c r="M74" s="1">
        <v>227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152.75</v>
      </c>
      <c r="E75" s="3">
        <f>SUM(200-D75)*0.8</f>
        <v>37.800000000000004</v>
      </c>
      <c r="F75" s="1">
        <f>3+3+3+3</f>
        <v>12</v>
      </c>
      <c r="G75" s="1">
        <f>473+445+393+522</f>
        <v>1833</v>
      </c>
      <c r="H75" s="3">
        <f>566+535+486+618</f>
        <v>2205</v>
      </c>
      <c r="I75" s="2">
        <f>SUM(H75)/F75</f>
        <v>183.75</v>
      </c>
      <c r="J75" s="1">
        <v>522</v>
      </c>
      <c r="K75" s="1">
        <v>618</v>
      </c>
      <c r="L75" s="1">
        <v>183</v>
      </c>
      <c r="M75" s="1">
        <v>215</v>
      </c>
    </row>
    <row r="76" spans="1:18" x14ac:dyDescent="0.35">
      <c r="A76" s="4" t="s">
        <v>13</v>
      </c>
      <c r="B76" s="1">
        <v>5</v>
      </c>
      <c r="C76" s="4" t="s">
        <v>222</v>
      </c>
      <c r="D76" s="2">
        <f>SUM(G76)/F76</f>
        <v>160.13333333333333</v>
      </c>
      <c r="E76" s="154">
        <f>SUM(200-D76)*0.8</f>
        <v>31.893333333333342</v>
      </c>
      <c r="F76" s="1">
        <f>3+3+3+3+3</f>
        <v>15</v>
      </c>
      <c r="G76" s="1">
        <f>454+514+515+539+380</f>
        <v>2402</v>
      </c>
      <c r="H76" s="1">
        <f>571+631+608+623+455</f>
        <v>2888</v>
      </c>
      <c r="I76" s="147">
        <f>SUM(H76)/F76</f>
        <v>192.53333333333333</v>
      </c>
      <c r="J76" s="1">
        <v>539</v>
      </c>
      <c r="K76" s="1">
        <v>623</v>
      </c>
      <c r="L76" s="1">
        <v>212</v>
      </c>
      <c r="M76" s="1">
        <v>240</v>
      </c>
    </row>
    <row r="77" spans="1:18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8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x14ac:dyDescent="0.35">
      <c r="A80" s="4"/>
      <c r="C80" s="4" t="s">
        <v>21</v>
      </c>
      <c r="D80" s="2">
        <f>SUM(G80)/F80</f>
        <v>145.66666666666666</v>
      </c>
      <c r="F80" s="1">
        <f>3+3+3</f>
        <v>9</v>
      </c>
      <c r="G80" s="1">
        <f>456+426+429</f>
        <v>1311</v>
      </c>
      <c r="H80" s="3">
        <f>546+540+543</f>
        <v>1629</v>
      </c>
      <c r="I80" s="2">
        <f>SUM(H80)/F80</f>
        <v>181</v>
      </c>
      <c r="J80" s="4"/>
      <c r="K80" s="4"/>
      <c r="L80" s="4"/>
      <c r="M80" s="4"/>
    </row>
    <row r="81" spans="1:13" x14ac:dyDescent="0.35">
      <c r="C81" s="14" t="s">
        <v>22</v>
      </c>
      <c r="D81" s="8">
        <f>SUM(G81)/F81</f>
        <v>145.05555555555554</v>
      </c>
      <c r="E81" s="10"/>
      <c r="F81" s="5">
        <f>SUM(F72:F80)</f>
        <v>72</v>
      </c>
      <c r="G81" s="5">
        <f>SUM(G72:G80)</f>
        <v>10444</v>
      </c>
      <c r="H81" s="10">
        <f>SUM(H72:H80)</f>
        <v>12955</v>
      </c>
      <c r="I81" s="8">
        <f>SUM(H81)/F81</f>
        <v>179.93055555555554</v>
      </c>
      <c r="J81" s="5"/>
      <c r="K81" s="5"/>
      <c r="L81" s="5"/>
      <c r="M81" s="5"/>
    </row>
    <row r="82" spans="1:13" x14ac:dyDescent="0.35">
      <c r="C82" s="4"/>
    </row>
    <row r="83" spans="1:13" x14ac:dyDescent="0.35">
      <c r="B83" s="9"/>
      <c r="C83" s="14"/>
      <c r="D83" s="8"/>
      <c r="E83" s="10"/>
      <c r="F83" s="5"/>
      <c r="G83" s="5"/>
      <c r="H83" s="10"/>
      <c r="I83" s="8"/>
    </row>
    <row r="84" spans="1:13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x14ac:dyDescent="0.35">
      <c r="A85" s="1" t="s">
        <v>15</v>
      </c>
      <c r="B85" s="1">
        <v>1</v>
      </c>
      <c r="C85" s="4" t="s">
        <v>52</v>
      </c>
      <c r="D85" s="2">
        <f t="shared" ref="D85:D91" si="10">SUM(G85)/F85</f>
        <v>170.33333333333334</v>
      </c>
      <c r="E85" s="3">
        <f t="shared" ref="E85:E90" si="11">SUM(200-D85)*0.8</f>
        <v>23.733333333333327</v>
      </c>
      <c r="F85" s="1">
        <f>3+3+3+3+3</f>
        <v>15</v>
      </c>
      <c r="G85" s="1">
        <f>528+498+480+564+485</f>
        <v>2555</v>
      </c>
      <c r="H85" s="3">
        <f>603+570+555+639+557</f>
        <v>2924</v>
      </c>
      <c r="I85" s="2">
        <f t="shared" ref="I85:I90" si="12">SUM(H85)/F85</f>
        <v>194.93333333333334</v>
      </c>
      <c r="J85" s="1">
        <v>564</v>
      </c>
      <c r="K85" s="1">
        <v>639</v>
      </c>
      <c r="L85" s="1">
        <v>225</v>
      </c>
      <c r="M85" s="1">
        <v>250</v>
      </c>
    </row>
    <row r="86" spans="1:13" x14ac:dyDescent="0.35">
      <c r="A86" s="1" t="s">
        <v>15</v>
      </c>
      <c r="B86" s="1">
        <v>2</v>
      </c>
      <c r="C86" s="4" t="s">
        <v>53</v>
      </c>
      <c r="D86" s="2">
        <f t="shared" si="10"/>
        <v>144.77777777777777</v>
      </c>
      <c r="E86" s="3">
        <f t="shared" si="11"/>
        <v>44.177777777777784</v>
      </c>
      <c r="F86" s="1">
        <f>3+3+3</f>
        <v>9</v>
      </c>
      <c r="G86" s="1">
        <f>385+509+409</f>
        <v>1303</v>
      </c>
      <c r="H86" s="3">
        <f>505+632+532</f>
        <v>1669</v>
      </c>
      <c r="I86" s="2">
        <f t="shared" si="12"/>
        <v>185.44444444444446</v>
      </c>
      <c r="J86" s="1">
        <v>509</v>
      </c>
      <c r="K86" s="1">
        <v>632</v>
      </c>
      <c r="L86" s="1">
        <v>210</v>
      </c>
      <c r="M86" s="1">
        <v>251</v>
      </c>
    </row>
    <row r="87" spans="1:13" x14ac:dyDescent="0.35">
      <c r="A87" s="1" t="s">
        <v>15</v>
      </c>
      <c r="B87" s="1">
        <v>3</v>
      </c>
      <c r="C87" s="4" t="s">
        <v>29</v>
      </c>
      <c r="D87" s="2">
        <f t="shared" si="10"/>
        <v>162.22222222222223</v>
      </c>
      <c r="E87" s="3">
        <f t="shared" si="11"/>
        <v>30.222222222222218</v>
      </c>
      <c r="F87" s="1">
        <f>3+3+3</f>
        <v>9</v>
      </c>
      <c r="G87" s="1">
        <f>489+489+482</f>
        <v>1460</v>
      </c>
      <c r="H87" s="3">
        <f>573+576+572</f>
        <v>1721</v>
      </c>
      <c r="I87" s="2">
        <f t="shared" si="12"/>
        <v>191.22222222222223</v>
      </c>
      <c r="J87" s="1">
        <v>489</v>
      </c>
      <c r="K87" s="1">
        <v>576</v>
      </c>
      <c r="L87" s="1">
        <v>191</v>
      </c>
      <c r="M87" s="1">
        <v>220</v>
      </c>
    </row>
    <row r="88" spans="1:13" x14ac:dyDescent="0.35">
      <c r="A88" s="1" t="s">
        <v>15</v>
      </c>
      <c r="B88" s="1">
        <v>4</v>
      </c>
      <c r="C88" s="4" t="s">
        <v>54</v>
      </c>
      <c r="D88" s="2">
        <f>SUM(G88)/F88</f>
        <v>175.5</v>
      </c>
      <c r="E88" s="3">
        <f>SUM(200-D88)*0.8</f>
        <v>19.600000000000001</v>
      </c>
      <c r="F88" s="1">
        <f>3+3</f>
        <v>6</v>
      </c>
      <c r="G88" s="1">
        <f>488+565</f>
        <v>1053</v>
      </c>
      <c r="H88" s="3">
        <f>563+643</f>
        <v>1206</v>
      </c>
      <c r="I88" s="2">
        <f t="shared" si="12"/>
        <v>201</v>
      </c>
      <c r="J88" s="1">
        <v>565</v>
      </c>
      <c r="K88" s="1">
        <v>643</v>
      </c>
      <c r="L88" s="1">
        <v>211</v>
      </c>
      <c r="M88" s="1">
        <v>237</v>
      </c>
    </row>
    <row r="89" spans="1:13" x14ac:dyDescent="0.35">
      <c r="A89" s="1" t="s">
        <v>15</v>
      </c>
      <c r="B89" s="1">
        <v>5</v>
      </c>
      <c r="C89" s="4" t="s">
        <v>55</v>
      </c>
      <c r="D89" s="2">
        <f t="shared" si="10"/>
        <v>162.66666666666666</v>
      </c>
      <c r="E89" s="3">
        <f t="shared" si="11"/>
        <v>29.866666666666674</v>
      </c>
      <c r="F89" s="1">
        <f>3+3+3+3+3</f>
        <v>15</v>
      </c>
      <c r="G89" s="1">
        <f>520+449+464+499+508</f>
        <v>2440</v>
      </c>
      <c r="H89" s="3">
        <f>601+530+545+583+601</f>
        <v>2860</v>
      </c>
      <c r="I89" s="2">
        <f t="shared" si="12"/>
        <v>190.66666666666666</v>
      </c>
      <c r="J89" s="1">
        <v>520</v>
      </c>
      <c r="K89" s="1">
        <v>601</v>
      </c>
      <c r="L89" s="1">
        <v>183</v>
      </c>
      <c r="M89" s="1">
        <v>211</v>
      </c>
    </row>
    <row r="90" spans="1:13" x14ac:dyDescent="0.35">
      <c r="A90" s="1" t="s">
        <v>15</v>
      </c>
      <c r="B90" s="1">
        <v>6</v>
      </c>
      <c r="C90" s="4" t="s">
        <v>56</v>
      </c>
      <c r="D90" s="2">
        <f t="shared" si="10"/>
        <v>144.41666666666666</v>
      </c>
      <c r="E90" s="3">
        <f t="shared" si="11"/>
        <v>44.466666666666676</v>
      </c>
      <c r="F90" s="1">
        <f>3+3+3+3</f>
        <v>12</v>
      </c>
      <c r="G90" s="1">
        <f>474+421+397+441</f>
        <v>1733</v>
      </c>
      <c r="H90" s="3">
        <f>561+511+487+576</f>
        <v>2135</v>
      </c>
      <c r="I90" s="2">
        <f t="shared" si="12"/>
        <v>177.91666666666666</v>
      </c>
      <c r="J90" s="1">
        <v>474</v>
      </c>
      <c r="K90" s="1">
        <v>576</v>
      </c>
      <c r="L90" s="1">
        <v>177</v>
      </c>
      <c r="M90" s="1">
        <v>206</v>
      </c>
    </row>
    <row r="91" spans="1:13" x14ac:dyDescent="0.35">
      <c r="C91" s="4" t="s">
        <v>57</v>
      </c>
      <c r="D91" s="2">
        <f t="shared" si="10"/>
        <v>156.33333333333334</v>
      </c>
      <c r="F91" s="1">
        <f>3+3</f>
        <v>6</v>
      </c>
      <c r="G91" s="1">
        <f>456+482</f>
        <v>938</v>
      </c>
      <c r="H91" s="3">
        <f>546+569</f>
        <v>1115</v>
      </c>
      <c r="I91" s="2">
        <f>SUM(H91)/F91</f>
        <v>185.83333333333334</v>
      </c>
    </row>
    <row r="92" spans="1:13" x14ac:dyDescent="0.35">
      <c r="J92" s="5"/>
      <c r="K92" s="5"/>
      <c r="L92" s="5"/>
      <c r="M92" s="5"/>
    </row>
    <row r="93" spans="1:13" x14ac:dyDescent="0.35">
      <c r="C93" s="14" t="s">
        <v>22</v>
      </c>
      <c r="D93" s="8">
        <f>SUM(G93)/F93</f>
        <v>159.47222222222223</v>
      </c>
      <c r="E93" s="10"/>
      <c r="F93" s="5">
        <f>SUM(F85:F91)</f>
        <v>72</v>
      </c>
      <c r="G93" s="5">
        <f>SUM(G85:G91)</f>
        <v>11482</v>
      </c>
      <c r="H93" s="10">
        <f>SUM(H85:H92)</f>
        <v>13630</v>
      </c>
      <c r="I93" s="8">
        <f>SUM(H93)/F93</f>
        <v>189.30555555555554</v>
      </c>
    </row>
    <row r="95" spans="1:13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x14ac:dyDescent="0.35">
      <c r="A96" s="1" t="s">
        <v>15</v>
      </c>
      <c r="B96" s="1">
        <v>1</v>
      </c>
      <c r="C96" s="1" t="s">
        <v>66</v>
      </c>
      <c r="D96" s="2">
        <f t="shared" ref="D96:D102" si="13">SUM(G96)/F96</f>
        <v>174.55555555555554</v>
      </c>
      <c r="E96" s="3">
        <f t="shared" ref="E96:E102" si="14">SUM(200-D96)*0.8</f>
        <v>20.355555555555569</v>
      </c>
      <c r="F96" s="1">
        <f>3+3+3</f>
        <v>9</v>
      </c>
      <c r="G96" s="1">
        <f>638+444+489</f>
        <v>1571</v>
      </c>
      <c r="H96" s="3">
        <f>722+522+570</f>
        <v>1814</v>
      </c>
      <c r="I96" s="2">
        <f>SUM(H96)/F96</f>
        <v>201.55555555555554</v>
      </c>
      <c r="J96" s="1">
        <v>638</v>
      </c>
      <c r="K96" s="1">
        <v>722</v>
      </c>
      <c r="L96" s="1">
        <v>224</v>
      </c>
      <c r="M96" s="1">
        <v>252</v>
      </c>
    </row>
    <row r="97" spans="1:13" x14ac:dyDescent="0.35">
      <c r="A97" s="1" t="s">
        <v>13</v>
      </c>
      <c r="B97" s="1">
        <v>2</v>
      </c>
      <c r="C97" s="1" t="s">
        <v>67</v>
      </c>
      <c r="D97" s="2">
        <f t="shared" si="13"/>
        <v>138.5</v>
      </c>
      <c r="E97" s="3">
        <f t="shared" si="14"/>
        <v>49.2</v>
      </c>
      <c r="F97" s="1">
        <f>3+3</f>
        <v>6</v>
      </c>
      <c r="G97" s="1">
        <f>411+420</f>
        <v>831</v>
      </c>
      <c r="H97" s="3">
        <f>498+510</f>
        <v>1008</v>
      </c>
      <c r="I97" s="2">
        <f>SUM(H97)/F97</f>
        <v>168</v>
      </c>
      <c r="J97" s="1">
        <v>420</v>
      </c>
      <c r="K97" s="1">
        <v>510</v>
      </c>
      <c r="L97" s="1">
        <v>156</v>
      </c>
      <c r="M97" s="1">
        <v>185</v>
      </c>
    </row>
    <row r="98" spans="1:13" x14ac:dyDescent="0.35">
      <c r="A98" s="1" t="s">
        <v>15</v>
      </c>
      <c r="B98" s="1">
        <v>3</v>
      </c>
      <c r="C98" s="1" t="s">
        <v>68</v>
      </c>
      <c r="D98" s="2">
        <f t="shared" si="13"/>
        <v>152.25</v>
      </c>
      <c r="E98" s="3">
        <f t="shared" si="14"/>
        <v>38.200000000000003</v>
      </c>
      <c r="F98" s="1">
        <f>3+3+3+3</f>
        <v>12</v>
      </c>
      <c r="G98" s="1">
        <f>425+427+495+480</f>
        <v>1827</v>
      </c>
      <c r="H98" s="3">
        <f>482+487+558+600</f>
        <v>2127</v>
      </c>
      <c r="I98" s="2">
        <v>188.66</v>
      </c>
      <c r="J98" s="1">
        <v>495</v>
      </c>
      <c r="K98" s="1">
        <v>600</v>
      </c>
      <c r="L98" s="1">
        <v>200</v>
      </c>
      <c r="M98" s="1">
        <v>221</v>
      </c>
    </row>
    <row r="99" spans="1:13" x14ac:dyDescent="0.35">
      <c r="A99" s="1" t="s">
        <v>15</v>
      </c>
      <c r="B99" s="1">
        <v>4</v>
      </c>
      <c r="C99" s="1" t="s">
        <v>69</v>
      </c>
      <c r="D99" s="2">
        <f t="shared" si="13"/>
        <v>158.66666666666666</v>
      </c>
      <c r="E99" s="3">
        <f t="shared" si="14"/>
        <v>33.066666666666677</v>
      </c>
      <c r="F99" s="1">
        <f>3+3+3+3</f>
        <v>12</v>
      </c>
      <c r="G99" s="1">
        <f>455+507+488+454</f>
        <v>1904</v>
      </c>
      <c r="H99" s="3">
        <f>536+589+569+547</f>
        <v>2241</v>
      </c>
      <c r="I99" s="2">
        <v>193.33</v>
      </c>
      <c r="J99" s="1">
        <v>507</v>
      </c>
      <c r="K99" s="1">
        <v>589</v>
      </c>
      <c r="L99" s="1">
        <v>181</v>
      </c>
      <c r="M99" s="1">
        <v>212</v>
      </c>
    </row>
    <row r="100" spans="1:13" x14ac:dyDescent="0.35">
      <c r="A100" s="1" t="s">
        <v>15</v>
      </c>
      <c r="B100" s="1">
        <v>5</v>
      </c>
      <c r="C100" s="1" t="s">
        <v>35</v>
      </c>
      <c r="D100" s="2">
        <f t="shared" si="13"/>
        <v>177.75</v>
      </c>
      <c r="E100" s="3">
        <f t="shared" si="14"/>
        <v>17.8</v>
      </c>
      <c r="F100" s="1">
        <f>3+3+3+3</f>
        <v>12</v>
      </c>
      <c r="G100" s="1">
        <f>573+521+590+449</f>
        <v>2133</v>
      </c>
      <c r="H100" s="3">
        <f>624+572+641+497</f>
        <v>2334</v>
      </c>
      <c r="I100" s="2">
        <f>SUM(H100)/F100</f>
        <v>194.5</v>
      </c>
      <c r="J100" s="1">
        <v>590</v>
      </c>
      <c r="K100" s="1">
        <v>641</v>
      </c>
      <c r="L100" s="1">
        <v>235</v>
      </c>
      <c r="M100" s="1">
        <v>252</v>
      </c>
    </row>
    <row r="101" spans="1:13" x14ac:dyDescent="0.35">
      <c r="A101" s="1" t="s">
        <v>15</v>
      </c>
      <c r="B101" s="1">
        <v>6</v>
      </c>
      <c r="C101" s="1" t="s">
        <v>36</v>
      </c>
      <c r="D101" s="2">
        <f t="shared" si="13"/>
        <v>141.44444444444446</v>
      </c>
      <c r="E101" s="3">
        <f t="shared" si="14"/>
        <v>46.844444444444434</v>
      </c>
      <c r="F101" s="1">
        <f>3+3+3</f>
        <v>9</v>
      </c>
      <c r="G101" s="1">
        <f>389+440+444</f>
        <v>1273</v>
      </c>
      <c r="H101" s="3">
        <f>455+509+595</f>
        <v>1559</v>
      </c>
      <c r="I101" s="2">
        <f>SUM(H101)/F101</f>
        <v>173.22222222222223</v>
      </c>
      <c r="J101" s="1">
        <v>444</v>
      </c>
      <c r="K101" s="1">
        <v>595</v>
      </c>
      <c r="L101" s="1">
        <v>152</v>
      </c>
      <c r="M101" s="1">
        <v>202</v>
      </c>
    </row>
    <row r="102" spans="1:13" x14ac:dyDescent="0.35">
      <c r="A102" s="1" t="s">
        <v>15</v>
      </c>
      <c r="B102" s="1">
        <v>7</v>
      </c>
      <c r="C102" s="1" t="s">
        <v>70</v>
      </c>
      <c r="D102" s="2">
        <f t="shared" si="13"/>
        <v>150.22222222222223</v>
      </c>
      <c r="E102" s="3">
        <f t="shared" si="14"/>
        <v>39.822222222222223</v>
      </c>
      <c r="F102" s="1">
        <f>3+3+3</f>
        <v>9</v>
      </c>
      <c r="G102" s="1">
        <f>465+459+428</f>
        <v>1352</v>
      </c>
      <c r="H102" s="3">
        <f>561+558+539</f>
        <v>1658</v>
      </c>
      <c r="I102" s="2">
        <f>SUM(H102)/F102</f>
        <v>184.22222222222223</v>
      </c>
      <c r="J102" s="1">
        <v>465</v>
      </c>
      <c r="K102" s="1">
        <v>561</v>
      </c>
      <c r="L102" s="1">
        <v>172</v>
      </c>
      <c r="M102" s="1">
        <v>204</v>
      </c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x14ac:dyDescent="0.35">
      <c r="A104" s="4"/>
      <c r="B104" s="4"/>
      <c r="C104" s="1" t="s">
        <v>57</v>
      </c>
      <c r="D104" s="2">
        <f>SUM(G104)/F104</f>
        <v>164</v>
      </c>
      <c r="F104" s="1">
        <f>3</f>
        <v>3</v>
      </c>
      <c r="G104" s="1">
        <f>492</f>
        <v>492</v>
      </c>
      <c r="H104" s="3">
        <f>555</f>
        <v>555</v>
      </c>
      <c r="I104" s="2">
        <f>SUM(H104)/F104</f>
        <v>185</v>
      </c>
    </row>
    <row r="106" spans="1:13" x14ac:dyDescent="0.35">
      <c r="A106" s="4"/>
      <c r="B106" s="4"/>
      <c r="D106" s="1"/>
      <c r="L106" s="4"/>
      <c r="M106" s="4"/>
    </row>
    <row r="107" spans="1:13" x14ac:dyDescent="0.35">
      <c r="A107" s="4"/>
      <c r="B107" s="4"/>
      <c r="C107" s="5" t="s">
        <v>71</v>
      </c>
      <c r="D107" s="4"/>
      <c r="E107" s="4"/>
      <c r="F107" s="156">
        <f>SUM(F96:F104)</f>
        <v>72</v>
      </c>
      <c r="G107" s="10">
        <f>SUM(G96:G104)</f>
        <v>11383</v>
      </c>
      <c r="H107" s="10">
        <f>SUM(H96:H104)</f>
        <v>13296</v>
      </c>
      <c r="I107" s="8">
        <f>SUM(H107)/F107</f>
        <v>184.66666666666666</v>
      </c>
      <c r="J107" s="10"/>
      <c r="K107" s="2"/>
      <c r="L107" s="4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x14ac:dyDescent="0.35">
      <c r="A112" s="1" t="s">
        <v>15</v>
      </c>
      <c r="B112" s="1">
        <v>1</v>
      </c>
      <c r="C112" s="1" t="s">
        <v>72</v>
      </c>
      <c r="D112" s="2">
        <f t="shared" ref="D112:D117" si="15">SUM(G112)/F112</f>
        <v>185.88888888888889</v>
      </c>
      <c r="E112" s="3">
        <f t="shared" ref="E112:E117" si="16">SUM(200-D112)*0.8</f>
        <v>11.288888888888891</v>
      </c>
      <c r="F112" s="1">
        <f>3+3+3+3+3+3</f>
        <v>18</v>
      </c>
      <c r="G112" s="1">
        <f>525+611+514+595+584+517</f>
        <v>3346</v>
      </c>
      <c r="H112" s="3">
        <f>579+665+565+646+635+544</f>
        <v>3634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x14ac:dyDescent="0.35">
      <c r="A113" s="1" t="s">
        <v>15</v>
      </c>
      <c r="B113" s="1">
        <v>2</v>
      </c>
      <c r="C113" s="1" t="s">
        <v>73</v>
      </c>
      <c r="D113" s="2">
        <f t="shared" si="15"/>
        <v>167.8</v>
      </c>
      <c r="E113" s="3">
        <f t="shared" si="16"/>
        <v>25.759999999999991</v>
      </c>
      <c r="F113" s="1">
        <f>3+3+3+3+3</f>
        <v>15</v>
      </c>
      <c r="G113" s="1">
        <f>498+447+472+499+601</f>
        <v>2517</v>
      </c>
      <c r="H113" s="3">
        <f>602+525+553+580+682</f>
        <v>2942</v>
      </c>
      <c r="I113" s="2">
        <f>SUM(H113)/F113</f>
        <v>196.13333333333333</v>
      </c>
      <c r="J113" s="1">
        <v>601</v>
      </c>
      <c r="K113" s="1">
        <v>682</v>
      </c>
      <c r="L113" s="1">
        <v>218</v>
      </c>
      <c r="M113" s="1">
        <v>245</v>
      </c>
    </row>
    <row r="114" spans="1:17" x14ac:dyDescent="0.35">
      <c r="A114" s="1" t="s">
        <v>15</v>
      </c>
      <c r="B114" s="1">
        <v>3</v>
      </c>
      <c r="C114" s="1" t="s">
        <v>74</v>
      </c>
      <c r="D114" s="2">
        <f t="shared" si="15"/>
        <v>171.33333333333334</v>
      </c>
      <c r="E114" s="3">
        <f t="shared" si="16"/>
        <v>22.933333333333326</v>
      </c>
      <c r="F114" s="1">
        <f>3+3+3+3+3+3</f>
        <v>18</v>
      </c>
      <c r="G114" s="1">
        <f>485+530+536+529+517+487</f>
        <v>3084</v>
      </c>
      <c r="H114" s="3">
        <f>572+617+620+613+601+553</f>
        <v>3576</v>
      </c>
      <c r="I114" s="2">
        <f>SUM(H114)/F114</f>
        <v>198.66666666666666</v>
      </c>
      <c r="J114" s="1">
        <v>536</v>
      </c>
      <c r="K114" s="1">
        <v>620</v>
      </c>
      <c r="L114" s="1">
        <v>214</v>
      </c>
      <c r="M114" s="1">
        <v>242</v>
      </c>
    </row>
    <row r="115" spans="1:17" x14ac:dyDescent="0.35">
      <c r="A115" s="1" t="s">
        <v>15</v>
      </c>
      <c r="B115" s="1">
        <v>4</v>
      </c>
      <c r="C115" s="1" t="s">
        <v>42</v>
      </c>
      <c r="D115" s="2">
        <f t="shared" si="15"/>
        <v>180.75</v>
      </c>
      <c r="E115" s="3">
        <f t="shared" si="16"/>
        <v>15.4</v>
      </c>
      <c r="F115" s="1">
        <f>3+3+3+3</f>
        <v>12</v>
      </c>
      <c r="G115" s="1">
        <f>499+616+519+535</f>
        <v>2169</v>
      </c>
      <c r="H115" s="3">
        <f>523+643+543+577</f>
        <v>2286</v>
      </c>
      <c r="I115" s="2">
        <f>SUM(H115)/F115</f>
        <v>190.5</v>
      </c>
      <c r="J115" s="1">
        <v>616</v>
      </c>
      <c r="K115" s="1">
        <v>643</v>
      </c>
      <c r="L115" s="1">
        <v>219</v>
      </c>
      <c r="M115" s="1">
        <v>228</v>
      </c>
    </row>
    <row r="116" spans="1:17" x14ac:dyDescent="0.35">
      <c r="A116" s="1" t="s">
        <v>15</v>
      </c>
      <c r="B116" s="1">
        <v>8</v>
      </c>
      <c r="C116" s="1" t="s">
        <v>142</v>
      </c>
      <c r="D116" s="2">
        <f t="shared" si="15"/>
        <v>160</v>
      </c>
      <c r="E116" s="3">
        <f t="shared" si="16"/>
        <v>32</v>
      </c>
      <c r="F116" s="1">
        <f>3+3</f>
        <v>6</v>
      </c>
      <c r="G116" s="1">
        <f>418+542</f>
        <v>960</v>
      </c>
      <c r="H116" s="3">
        <f>4479+505+635</f>
        <v>5619</v>
      </c>
      <c r="I116" s="2">
        <f>SUM(H116)/F116</f>
        <v>936.5</v>
      </c>
      <c r="J116" s="1">
        <v>542</v>
      </c>
      <c r="K116" s="1">
        <v>635</v>
      </c>
      <c r="L116" s="1">
        <v>210</v>
      </c>
      <c r="M116" s="1">
        <v>241</v>
      </c>
    </row>
    <row r="117" spans="1:17" x14ac:dyDescent="0.35">
      <c r="A117" s="1" t="s">
        <v>13</v>
      </c>
      <c r="B117" s="1">
        <v>6</v>
      </c>
      <c r="C117" s="1" t="s">
        <v>140</v>
      </c>
      <c r="D117" s="2">
        <f t="shared" si="15"/>
        <v>178</v>
      </c>
      <c r="E117" s="3">
        <f t="shared" si="16"/>
        <v>17.600000000000001</v>
      </c>
      <c r="F117" s="1">
        <f>3</f>
        <v>3</v>
      </c>
      <c r="G117" s="1">
        <f>534</f>
        <v>534</v>
      </c>
      <c r="H117" s="3">
        <f>621</f>
        <v>621</v>
      </c>
      <c r="I117" s="2">
        <f>SUM(H117)/F117</f>
        <v>207</v>
      </c>
      <c r="J117" s="1">
        <v>534</v>
      </c>
      <c r="K117" s="1">
        <v>621</v>
      </c>
      <c r="L117" s="1">
        <v>204</v>
      </c>
      <c r="M117" s="1">
        <v>233</v>
      </c>
    </row>
    <row r="119" spans="1:17" x14ac:dyDescent="0.35">
      <c r="A119" s="4"/>
      <c r="B119" s="4"/>
      <c r="C119" s="1" t="s">
        <v>57</v>
      </c>
      <c r="D119" s="2" t="e">
        <f>SUM(G119)/F119</f>
        <v>#VALUE!</v>
      </c>
      <c r="F119" s="1" t="s">
        <v>230</v>
      </c>
      <c r="G119" s="1" t="s">
        <v>230</v>
      </c>
      <c r="H119" s="3" t="s">
        <v>230</v>
      </c>
      <c r="I119" s="2" t="e">
        <f>SUM(H119)/F119</f>
        <v>#VALUE!</v>
      </c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130" t="s">
        <v>71</v>
      </c>
      <c r="D120" s="131">
        <f ca="1">SUM(G120)/F120</f>
        <v>0.86714658320292126</v>
      </c>
      <c r="E120" s="132"/>
      <c r="F120" s="130">
        <f>SUM(F112:F119)</f>
        <v>72</v>
      </c>
      <c r="G120" s="130">
        <f ca="1">SUM(G112:G133)</f>
        <v>83116</v>
      </c>
      <c r="H120" s="132">
        <f ca="1">SUM(H112:H133)</f>
        <v>94404</v>
      </c>
      <c r="J120" s="4"/>
      <c r="K120" s="4"/>
      <c r="L120" s="4"/>
      <c r="M120" s="4"/>
    </row>
    <row r="121" spans="1:17" ht="23.2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7" ht="23.2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8" spans="1:17" x14ac:dyDescent="0.35">
      <c r="A128" s="1" t="s">
        <v>15</v>
      </c>
      <c r="B128" s="1">
        <v>6</v>
      </c>
      <c r="C128" s="11" t="s">
        <v>129</v>
      </c>
      <c r="D128" s="2">
        <f>SUM(G128)/F128</f>
        <v>148</v>
      </c>
      <c r="E128" s="3">
        <f>SUM(200-D128)*0.8</f>
        <v>41.6</v>
      </c>
      <c r="F128" s="1">
        <f>3+3+3+3+3</f>
        <v>15</v>
      </c>
      <c r="G128" s="1">
        <f>412+496+461+422+429</f>
        <v>2220</v>
      </c>
      <c r="H128" s="3">
        <f>562+646+78+536+552</f>
        <v>2374</v>
      </c>
      <c r="I128" s="2">
        <f>SUM(H128)/F128</f>
        <v>158.26666666666668</v>
      </c>
      <c r="J128" s="1">
        <v>496</v>
      </c>
      <c r="K128" s="1">
        <v>646</v>
      </c>
      <c r="L128" s="1">
        <v>192</v>
      </c>
      <c r="M128" s="1">
        <v>242</v>
      </c>
    </row>
    <row r="129" spans="1:15" x14ac:dyDescent="0.35">
      <c r="A129" s="1" t="s">
        <v>15</v>
      </c>
      <c r="B129" s="1">
        <v>3</v>
      </c>
      <c r="C129" s="11" t="s">
        <v>17</v>
      </c>
      <c r="D129" s="2">
        <f t="shared" ref="D129:D133" si="17">SUM(G129)/F129</f>
        <v>160.83333333333334</v>
      </c>
      <c r="E129" s="3">
        <f>SUM(200-D129)*0.8</f>
        <v>31.333333333333329</v>
      </c>
      <c r="F129" s="1">
        <f>3+3</f>
        <v>6</v>
      </c>
      <c r="G129" s="1">
        <f>510+455</f>
        <v>965</v>
      </c>
      <c r="H129" s="3">
        <f>564+527</f>
        <v>1091</v>
      </c>
      <c r="I129" s="2">
        <f>SUM(H129)/F129</f>
        <v>181.83333333333334</v>
      </c>
      <c r="J129" s="1">
        <v>510</v>
      </c>
      <c r="K129" s="1">
        <v>564</v>
      </c>
      <c r="L129" s="1">
        <v>189</v>
      </c>
      <c r="M129" s="1">
        <v>207</v>
      </c>
    </row>
    <row r="130" spans="1:15" x14ac:dyDescent="0.35">
      <c r="A130" s="1" t="s">
        <v>15</v>
      </c>
      <c r="B130" s="1">
        <v>7</v>
      </c>
      <c r="C130" s="11" t="s">
        <v>137</v>
      </c>
      <c r="D130" s="2">
        <f t="shared" si="17"/>
        <v>166</v>
      </c>
      <c r="E130" s="3">
        <f t="shared" ref="E130:E142" si="18">SUM(200-D130)*0.8</f>
        <v>27.200000000000003</v>
      </c>
      <c r="F130" s="1">
        <f>3+3+3</f>
        <v>9</v>
      </c>
      <c r="G130" s="1">
        <f>456+516+522</f>
        <v>1494</v>
      </c>
      <c r="H130" s="3">
        <f>570+630+612</f>
        <v>1812</v>
      </c>
      <c r="I130" s="2">
        <f t="shared" ref="I130:I141" si="19">SUM(H130)/F130</f>
        <v>201.33333333333334</v>
      </c>
      <c r="J130" s="1">
        <v>522</v>
      </c>
      <c r="K130" s="1">
        <v>630</v>
      </c>
      <c r="L130" s="1">
        <v>183</v>
      </c>
      <c r="M130" s="1">
        <v>221</v>
      </c>
    </row>
    <row r="131" spans="1:15" x14ac:dyDescent="0.35">
      <c r="A131" s="1" t="s">
        <v>15</v>
      </c>
      <c r="B131" s="1">
        <v>8</v>
      </c>
      <c r="C131" s="11" t="s">
        <v>138</v>
      </c>
      <c r="D131" s="2">
        <f t="shared" si="17"/>
        <v>161.66666666666666</v>
      </c>
      <c r="E131" s="3">
        <f t="shared" si="18"/>
        <v>30.666666666666675</v>
      </c>
      <c r="F131" s="1">
        <f>3+3+3+3+3+3+3+3</f>
        <v>24</v>
      </c>
      <c r="G131" s="1">
        <f>420+504+441+520+450+553+480+512</f>
        <v>3880</v>
      </c>
      <c r="H131" s="3">
        <f>564+648+552+634+552+658+576+608</f>
        <v>4792</v>
      </c>
      <c r="I131" s="2">
        <f t="shared" si="19"/>
        <v>199.66666666666666</v>
      </c>
      <c r="J131" s="1">
        <v>553</v>
      </c>
      <c r="K131" s="1">
        <v>658</v>
      </c>
      <c r="L131" s="1">
        <v>217</v>
      </c>
      <c r="M131" s="1">
        <v>255</v>
      </c>
    </row>
    <row r="132" spans="1:15" x14ac:dyDescent="0.35">
      <c r="A132" s="1" t="s">
        <v>15</v>
      </c>
      <c r="B132" s="1">
        <v>4</v>
      </c>
      <c r="C132" s="1" t="s">
        <v>75</v>
      </c>
      <c r="D132" s="2">
        <f t="shared" si="17"/>
        <v>171.85333333333332</v>
      </c>
      <c r="E132" s="3">
        <f t="shared" si="18"/>
        <v>22.51733333333334</v>
      </c>
      <c r="F132" s="1">
        <f>3+3+3+3+3+3+3+3+3+3+3+3+3+3+3+3+3+3+3+3+3+3+3+3+3</f>
        <v>75</v>
      </c>
      <c r="G132" s="1">
        <f>511+516+469+532+523+477+529+493+490+502+496+494+510+634+490+590+510+455+495+603+527+512+510+482+539</f>
        <v>12889</v>
      </c>
      <c r="H132" s="3">
        <f>583+588+538+613+598+549+607+568+565+580+574+572+588+712+559+662+532+521+564+675+593+578+576+548+605</f>
        <v>14648</v>
      </c>
      <c r="I132" s="2">
        <f t="shared" si="19"/>
        <v>195.30666666666667</v>
      </c>
      <c r="J132" s="1">
        <v>634</v>
      </c>
      <c r="K132" s="1">
        <v>712</v>
      </c>
      <c r="L132" s="1">
        <v>245</v>
      </c>
      <c r="M132" s="1">
        <v>269</v>
      </c>
    </row>
    <row r="133" spans="1:15" x14ac:dyDescent="0.35">
      <c r="A133" s="1" t="s">
        <v>15</v>
      </c>
      <c r="B133" s="1">
        <v>5</v>
      </c>
      <c r="C133" s="1" t="s">
        <v>133</v>
      </c>
      <c r="D133" s="2">
        <f t="shared" si="17"/>
        <v>172.43333333333334</v>
      </c>
      <c r="E133" s="3">
        <f t="shared" si="18"/>
        <v>22.053333333333331</v>
      </c>
      <c r="F133" s="1">
        <f>3+3+3+3+3+3+3+3+3+3</f>
        <v>30</v>
      </c>
      <c r="G133" s="1">
        <f>479+455+496+559+562+622+542+499+442+517</f>
        <v>5173</v>
      </c>
      <c r="H133" s="3">
        <f>575+551+575+658+643+694+599+553+499+583</f>
        <v>5930</v>
      </c>
      <c r="I133" s="2">
        <f t="shared" si="19"/>
        <v>197.66666666666666</v>
      </c>
      <c r="J133" s="1">
        <v>622</v>
      </c>
      <c r="K133" s="1">
        <v>694</v>
      </c>
      <c r="L133" s="1">
        <v>230</v>
      </c>
      <c r="M133" s="1">
        <v>263</v>
      </c>
    </row>
    <row r="135" spans="1:15" x14ac:dyDescent="0.35">
      <c r="A135" s="1" t="s">
        <v>15</v>
      </c>
      <c r="B135" s="1">
        <v>7</v>
      </c>
      <c r="C135" s="1" t="s">
        <v>141</v>
      </c>
      <c r="D135" s="2">
        <f>SUM(G135/F135)</f>
        <v>164.66666666666666</v>
      </c>
      <c r="E135" s="3">
        <f t="shared" si="18"/>
        <v>28.266666666666676</v>
      </c>
      <c r="F135" s="1">
        <f>3+3+3+3+3+3+3+3</f>
        <v>24</v>
      </c>
      <c r="G135" s="1">
        <f>535+454+515+494+449+518+527+460</f>
        <v>3952</v>
      </c>
      <c r="H135" s="3">
        <f>589+508+599+572+527+608+611+541</f>
        <v>4555</v>
      </c>
      <c r="I135" s="2">
        <f t="shared" si="19"/>
        <v>189.79166666666666</v>
      </c>
      <c r="J135" s="1">
        <v>535</v>
      </c>
      <c r="K135" s="1">
        <v>611</v>
      </c>
      <c r="L135" s="1">
        <v>201</v>
      </c>
      <c r="M135" s="1">
        <v>229</v>
      </c>
    </row>
    <row r="136" spans="1:15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5" x14ac:dyDescent="0.35">
      <c r="A137" s="1" t="s">
        <v>15</v>
      </c>
      <c r="B137" s="1">
        <v>5</v>
      </c>
      <c r="C137" s="4" t="s">
        <v>34</v>
      </c>
      <c r="D137" s="2">
        <f t="shared" ref="D137:D142" si="20">SUM(G137)/F137</f>
        <v>137</v>
      </c>
      <c r="E137" s="3">
        <f t="shared" si="18"/>
        <v>50.400000000000006</v>
      </c>
      <c r="F137" s="1">
        <f>3+3</f>
        <v>6</v>
      </c>
      <c r="G137" s="1">
        <f>421+401</f>
        <v>822</v>
      </c>
      <c r="H137" s="3">
        <f>565+545</f>
        <v>1110</v>
      </c>
      <c r="I137" s="2">
        <f t="shared" si="19"/>
        <v>185</v>
      </c>
      <c r="J137" s="1">
        <v>421</v>
      </c>
      <c r="K137" s="1">
        <v>565</v>
      </c>
      <c r="L137" s="1">
        <v>168</v>
      </c>
      <c r="M137" s="1">
        <v>216</v>
      </c>
    </row>
    <row r="138" spans="1:15" x14ac:dyDescent="0.35">
      <c r="A138" s="1" t="s">
        <v>13</v>
      </c>
      <c r="B138" s="1">
        <v>6</v>
      </c>
      <c r="C138" s="4" t="s">
        <v>49</v>
      </c>
      <c r="D138" s="2">
        <f t="shared" si="20"/>
        <v>147.4</v>
      </c>
      <c r="E138" s="3">
        <f t="shared" si="18"/>
        <v>42.08</v>
      </c>
      <c r="F138" s="1">
        <f>3+3+3+3+3</f>
        <v>15</v>
      </c>
      <c r="G138" s="1">
        <f>437+488+406+458+422</f>
        <v>2211</v>
      </c>
      <c r="H138" s="3">
        <f>566+617+517+584+545</f>
        <v>2829</v>
      </c>
      <c r="I138" s="2">
        <f t="shared" si="19"/>
        <v>188.6</v>
      </c>
      <c r="J138" s="1">
        <v>488</v>
      </c>
      <c r="K138" s="1">
        <v>617</v>
      </c>
      <c r="L138" s="1">
        <v>175</v>
      </c>
      <c r="M138" s="1">
        <v>218</v>
      </c>
    </row>
    <row r="139" spans="1:15" x14ac:dyDescent="0.35">
      <c r="A139" s="1" t="s">
        <v>13</v>
      </c>
      <c r="B139" s="1">
        <v>3</v>
      </c>
      <c r="C139" s="4" t="s">
        <v>37</v>
      </c>
      <c r="D139" s="2">
        <f t="shared" si="20"/>
        <v>167.64285714285714</v>
      </c>
      <c r="E139" s="3">
        <f t="shared" si="18"/>
        <v>25.88571428571429</v>
      </c>
      <c r="F139" s="1">
        <f>3+3+3+3+3+3+3+3+3+3+3+3+3+3</f>
        <v>42</v>
      </c>
      <c r="G139" s="1">
        <f>534+521+486+519+494+472+532+483+497+512+508+544+479+460</f>
        <v>7041</v>
      </c>
      <c r="H139" s="3">
        <f>606+590+555+588+560+544+610+558+575+590+586+622+551+541</f>
        <v>8076</v>
      </c>
      <c r="I139" s="2">
        <f t="shared" si="19"/>
        <v>192.28571428571428</v>
      </c>
      <c r="J139" s="1">
        <v>544</v>
      </c>
      <c r="K139" s="1">
        <v>622</v>
      </c>
      <c r="L139" s="1">
        <v>212</v>
      </c>
      <c r="M139" s="1">
        <v>238</v>
      </c>
    </row>
    <row r="140" spans="1:15" x14ac:dyDescent="0.35">
      <c r="A140" s="1" t="s">
        <v>15</v>
      </c>
      <c r="B140" s="1">
        <v>5</v>
      </c>
      <c r="C140" s="4" t="s">
        <v>39</v>
      </c>
      <c r="D140" s="2">
        <f t="shared" si="20"/>
        <v>163.4</v>
      </c>
      <c r="E140" s="3">
        <f t="shared" si="18"/>
        <v>29.279999999999998</v>
      </c>
      <c r="F140" s="1">
        <f>3+3+3+3+3+3+3+3+3+3+3+3+3+3+3+3+3+3+3+3+3+3+3+3+3+3+3+3+3+3</f>
        <v>90</v>
      </c>
      <c r="G140" s="1">
        <f>426+524+486+532+479+470+492+507+536+534+457+450+485+527+437+495+527+568+467+408+485+491+535+492+480+447+506+493+502+468</f>
        <v>14706</v>
      </c>
      <c r="H140" s="3">
        <f>516+614+576+628+566+560+582+597+626+618+538+534+572+614+524+585+617+655+551+492+575+581+625+579+567+534+596+583+589+555</f>
        <v>17349</v>
      </c>
      <c r="I140" s="2">
        <f t="shared" si="19"/>
        <v>192.76666666666668</v>
      </c>
      <c r="J140" s="1">
        <v>568</v>
      </c>
      <c r="K140" s="1">
        <v>655</v>
      </c>
      <c r="L140" s="1">
        <v>234</v>
      </c>
      <c r="M140" s="1">
        <v>263</v>
      </c>
    </row>
    <row r="141" spans="1:15" x14ac:dyDescent="0.35">
      <c r="A141" s="1" t="s">
        <v>15</v>
      </c>
      <c r="B141" s="1">
        <v>6</v>
      </c>
      <c r="C141" s="1" t="s">
        <v>139</v>
      </c>
      <c r="D141" s="2">
        <f t="shared" si="20"/>
        <v>166.54166666666666</v>
      </c>
      <c r="E141" s="3">
        <f t="shared" si="18"/>
        <v>26.766666666666676</v>
      </c>
      <c r="F141" s="1">
        <f>3+3+3+3+3+3+3+3</f>
        <v>24</v>
      </c>
      <c r="G141" s="1">
        <f>519+454+456+572+477+532+479+508</f>
        <v>3997</v>
      </c>
      <c r="H141" s="3">
        <f>585+520+546+671+555+616+557+589</f>
        <v>4639</v>
      </c>
      <c r="I141" s="2">
        <f t="shared" si="19"/>
        <v>193.29166666666666</v>
      </c>
      <c r="J141" s="1">
        <v>572</v>
      </c>
      <c r="K141" s="1">
        <v>671</v>
      </c>
      <c r="L141" s="1">
        <v>230</v>
      </c>
      <c r="M141" s="1">
        <v>263</v>
      </c>
    </row>
    <row r="142" spans="1:15" x14ac:dyDescent="0.35">
      <c r="A142" s="1" t="s">
        <v>15</v>
      </c>
      <c r="B142" s="1">
        <v>4</v>
      </c>
      <c r="C142" s="4" t="s">
        <v>38</v>
      </c>
      <c r="D142" s="2">
        <f t="shared" si="20"/>
        <v>166.38235294117646</v>
      </c>
      <c r="E142" s="3">
        <f t="shared" si="18"/>
        <v>26.894117647058831</v>
      </c>
      <c r="F142" s="1">
        <f>3+3+3+3+3+3+3+3+3+3+3+3+3+3+3+3+3+3+3+3+3+3+3+3+3+3+3+3+3+3+3+3+3+3</f>
        <v>102</v>
      </c>
      <c r="G142" s="1">
        <f>548+488+525+491+565+491+526+545+530+524+452+534+477+530+504+548+570+561+408+494+454+493+479+433+481+516+505+498+497+449+449+474+421+511</f>
        <v>16971</v>
      </c>
      <c r="H142" s="3">
        <f>626+566+603+569+634+554+592+611+593+587+515+600+543+596+570+614+636+627+471+560+520+562+548+505+556+591+580+573+572+524+527+552+499+592</f>
        <v>19368</v>
      </c>
      <c r="I142" s="2">
        <f>SUM(H142)/F142</f>
        <v>189.88235294117646</v>
      </c>
      <c r="J142" s="1">
        <v>570</v>
      </c>
      <c r="K142" s="1">
        <v>636</v>
      </c>
      <c r="L142" s="1">
        <v>233</v>
      </c>
      <c r="M142" s="1">
        <v>255</v>
      </c>
    </row>
    <row r="143" spans="1:15" x14ac:dyDescent="0.35">
      <c r="A143" s="1" t="s">
        <v>13</v>
      </c>
      <c r="B143" s="1">
        <v>7</v>
      </c>
      <c r="C143" s="4" t="s">
        <v>50</v>
      </c>
      <c r="D143" s="2">
        <f>SUM(G143)/F143</f>
        <v>126.04761904761905</v>
      </c>
      <c r="E143" s="3">
        <f>SUM(200-D143)*0.8</f>
        <v>59.161904761904765</v>
      </c>
      <c r="F143" s="1">
        <f>21</f>
        <v>21</v>
      </c>
      <c r="G143" s="1">
        <f>2647</f>
        <v>2647</v>
      </c>
      <c r="H143" s="3">
        <f>3808</f>
        <v>3808</v>
      </c>
      <c r="I143" s="2">
        <f>SUM(H143)/F143</f>
        <v>181.33333333333334</v>
      </c>
      <c r="J143" s="1">
        <v>424</v>
      </c>
      <c r="K143" s="1">
        <v>607</v>
      </c>
      <c r="L143" s="1">
        <v>163</v>
      </c>
      <c r="M143" s="1">
        <v>224</v>
      </c>
      <c r="O143" s="4">
        <f>SUM(200-D60)*0.8</f>
        <v>56.535999999999994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workbookViewId="0">
      <selection sqref="A1:XFD1048576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6</v>
      </c>
      <c r="F3" s="20" t="s">
        <v>78</v>
      </c>
      <c r="G3" s="21" t="s">
        <v>79</v>
      </c>
      <c r="H3" s="22">
        <v>46302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7+10+10+8+11+5</f>
        <v>51</v>
      </c>
      <c r="E5" s="29">
        <f>2007+2006+2138+2142+2244+2073</f>
        <v>12610</v>
      </c>
      <c r="F5" s="29">
        <f>2241+2312+2381+2382+2553+2295</f>
        <v>14164</v>
      </c>
      <c r="G5" s="30">
        <f t="shared" ref="G5:G14" si="0">F5/I5</f>
        <v>196.72222222222223</v>
      </c>
      <c r="H5" s="30">
        <f t="shared" ref="H5:H14" si="1">E5/I5</f>
        <v>175.13888888888889</v>
      </c>
      <c r="I5" s="27">
        <f>SUM(E3)*12</f>
        <v>72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30</v>
      </c>
      <c r="D6" s="29">
        <f>9+3+7+8+10+8</f>
        <v>45</v>
      </c>
      <c r="E6" s="29">
        <f>1957+1831+1889+2120+2019+1949</f>
        <v>11765</v>
      </c>
      <c r="F6" s="29">
        <f>2230+2239+2213+2399+2328+2306</f>
        <v>13715</v>
      </c>
      <c r="G6" s="30">
        <f t="shared" si="0"/>
        <v>190.48611111111111</v>
      </c>
      <c r="H6" s="30">
        <f t="shared" si="1"/>
        <v>163.40277777777777</v>
      </c>
      <c r="I6" s="27">
        <f t="shared" ref="I6:I14" si="2">SUM(I5)</f>
        <v>72</v>
      </c>
    </row>
    <row r="7" spans="2:16" ht="21.75" thickBot="1" x14ac:dyDescent="0.3">
      <c r="B7" s="28">
        <v>3</v>
      </c>
      <c r="C7" s="29" t="s">
        <v>51</v>
      </c>
      <c r="D7" s="29">
        <f>7+6+5+6+10+7</f>
        <v>41</v>
      </c>
      <c r="E7" s="29">
        <f>1979+2004+1711+1973+1975+1840</f>
        <v>11482</v>
      </c>
      <c r="F7" s="29">
        <f>2300+2325+2077+2306+2341+2281</f>
        <v>13630</v>
      </c>
      <c r="G7" s="30">
        <f t="shared" si="0"/>
        <v>189.30555555555554</v>
      </c>
      <c r="H7" s="30">
        <f t="shared" si="1"/>
        <v>159.47222222222223</v>
      </c>
      <c r="I7" s="27">
        <f t="shared" si="2"/>
        <v>72</v>
      </c>
    </row>
    <row r="8" spans="2:16" ht="21.75" thickBot="1" x14ac:dyDescent="0.3">
      <c r="B8" s="28">
        <v>4</v>
      </c>
      <c r="C8" s="29" t="s">
        <v>207</v>
      </c>
      <c r="D8" s="29">
        <f>7+7+8+8+3+7</f>
        <v>40</v>
      </c>
      <c r="E8" s="29">
        <f>2280+2280+2280+2280+2280+2280</f>
        <v>13680</v>
      </c>
      <c r="F8" s="29">
        <f>2280+2280+2280+2280+2280+2280</f>
        <v>13680</v>
      </c>
      <c r="G8" s="30">
        <f t="shared" si="0"/>
        <v>190</v>
      </c>
      <c r="H8" s="30">
        <f t="shared" si="1"/>
        <v>190</v>
      </c>
      <c r="I8" s="27">
        <f t="shared" si="2"/>
        <v>72</v>
      </c>
    </row>
    <row r="9" spans="2:16" ht="21.75" thickBot="1" x14ac:dyDescent="0.3">
      <c r="B9" s="34">
        <v>5</v>
      </c>
      <c r="C9" s="29" t="s">
        <v>58</v>
      </c>
      <c r="D9" s="29">
        <f>5+2+4+9+6+7</f>
        <v>33</v>
      </c>
      <c r="E9" s="29">
        <f>1939+1837+1851+2029+1921+1806</f>
        <v>11383</v>
      </c>
      <c r="F9" s="29">
        <f>2263+2125+2139+2293+2194+2280</f>
        <v>13294</v>
      </c>
      <c r="G9" s="30">
        <f t="shared" si="0"/>
        <v>184.63888888888889</v>
      </c>
      <c r="H9" s="30">
        <f t="shared" si="1"/>
        <v>158.09722222222223</v>
      </c>
      <c r="I9" s="27">
        <f t="shared" si="2"/>
        <v>72</v>
      </c>
    </row>
    <row r="10" spans="2:16" ht="21.75" thickBot="1" x14ac:dyDescent="0.3">
      <c r="B10" s="28">
        <v>6</v>
      </c>
      <c r="C10" s="29" t="s">
        <v>144</v>
      </c>
      <c r="D10" s="29">
        <f>8+8+4+5+2+5</f>
        <v>32</v>
      </c>
      <c r="E10" s="29">
        <f>1765+2252+1694+2222+1701+1815</f>
        <v>11449</v>
      </c>
      <c r="F10" s="29">
        <f>2200+2306+2112+2276+2133+2295</f>
        <v>13322</v>
      </c>
      <c r="G10" s="30">
        <f t="shared" si="0"/>
        <v>185.02777777777777</v>
      </c>
      <c r="H10" s="30">
        <f t="shared" si="1"/>
        <v>159.01388888888889</v>
      </c>
      <c r="I10" s="27">
        <f t="shared" si="2"/>
        <v>72</v>
      </c>
    </row>
    <row r="11" spans="2:16" ht="21.75" thickBot="1" x14ac:dyDescent="0.3">
      <c r="B11" s="28">
        <v>7</v>
      </c>
      <c r="C11" s="29" t="s">
        <v>206</v>
      </c>
      <c r="D11" s="29">
        <f>4+8+3+6+4+5</f>
        <v>30</v>
      </c>
      <c r="E11" s="29">
        <f>1522+1553+1303+1517+1514+1565</f>
        <v>8974</v>
      </c>
      <c r="F11" s="29">
        <f>2162+2177+1933+2156+2159+2252</f>
        <v>12839</v>
      </c>
      <c r="G11" s="30">
        <f t="shared" si="0"/>
        <v>178.31944444444446</v>
      </c>
      <c r="H11" s="30">
        <f t="shared" si="1"/>
        <v>124.63888888888889</v>
      </c>
      <c r="I11" s="27">
        <f t="shared" si="2"/>
        <v>72</v>
      </c>
    </row>
    <row r="12" spans="2:16" ht="21.75" thickBot="1" x14ac:dyDescent="0.3">
      <c r="B12" s="28">
        <v>8</v>
      </c>
      <c r="C12" s="29" t="s">
        <v>88</v>
      </c>
      <c r="D12" s="29">
        <f>7+5+6+3+1+7</f>
        <v>29</v>
      </c>
      <c r="E12" s="29">
        <f>2101+1945+1928+1862+1632+1924</f>
        <v>11392</v>
      </c>
      <c r="F12" s="29">
        <f>2404+2230+2167+2183+1914+2215</f>
        <v>13113</v>
      </c>
      <c r="G12" s="30">
        <f t="shared" si="0"/>
        <v>182.125</v>
      </c>
      <c r="H12" s="30">
        <f t="shared" si="1"/>
        <v>158.22222222222223</v>
      </c>
      <c r="I12" s="27">
        <f t="shared" si="2"/>
        <v>72</v>
      </c>
    </row>
    <row r="13" spans="2:16" ht="21.75" thickBot="1" x14ac:dyDescent="0.3">
      <c r="B13" s="28">
        <v>9</v>
      </c>
      <c r="C13" s="29" t="s">
        <v>87</v>
      </c>
      <c r="D13" s="29">
        <f>1+7+4+4+5+4</f>
        <v>25</v>
      </c>
      <c r="E13" s="29">
        <f>1639+1812+1793+1695+1862+1643</f>
        <v>10444</v>
      </c>
      <c r="F13" s="29">
        <f>2035+2223+2207+2103+2249+2138</f>
        <v>12955</v>
      </c>
      <c r="G13" s="30">
        <f t="shared" si="0"/>
        <v>179.93055555555554</v>
      </c>
      <c r="H13" s="30">
        <f t="shared" si="1"/>
        <v>145.05555555555554</v>
      </c>
      <c r="I13" s="27">
        <f t="shared" si="2"/>
        <v>72</v>
      </c>
    </row>
    <row r="14" spans="2:16" ht="21.75" thickBot="1" x14ac:dyDescent="0.3">
      <c r="B14" s="28">
        <v>10</v>
      </c>
      <c r="C14" s="29" t="s">
        <v>23</v>
      </c>
      <c r="D14" s="29">
        <f>1+6+2+3+7+4</f>
        <v>23</v>
      </c>
      <c r="E14" s="29">
        <f>1582+2006+1808+1901+1959+1673</f>
        <v>10929</v>
      </c>
      <c r="F14" s="29">
        <f>1987+2309+2111+2210+2271+2183</f>
        <v>13071</v>
      </c>
      <c r="G14" s="30">
        <f t="shared" si="0"/>
        <v>181.54166666666666</v>
      </c>
      <c r="H14" s="30">
        <f t="shared" si="1"/>
        <v>151.79166666666666</v>
      </c>
      <c r="I14" s="27">
        <f t="shared" si="2"/>
        <v>72</v>
      </c>
    </row>
    <row r="15" spans="2:16" ht="21.75" thickBot="1" x14ac:dyDescent="0.3">
      <c r="B15" s="28"/>
      <c r="C15" s="25" t="s">
        <v>89</v>
      </c>
      <c r="D15" s="29"/>
      <c r="E15" s="26">
        <f>SUM(E3:E14)</f>
        <v>114114</v>
      </c>
      <c r="F15" s="26">
        <f>SUM(F3:F14)</f>
        <v>133783</v>
      </c>
      <c r="G15" s="30" t="e">
        <f>F16/I16</f>
        <v>#DIV/0!</v>
      </c>
      <c r="H15" s="30" t="e">
        <f t="shared" ref="H15" si="3"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720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6</v>
      </c>
      <c r="F19" s="20" t="s">
        <v>78</v>
      </c>
      <c r="G19" s="21" t="s">
        <v>79</v>
      </c>
      <c r="H19" s="22">
        <f>SUM(H3)</f>
        <v>46302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30</v>
      </c>
      <c r="D21" s="29">
        <v>8</v>
      </c>
      <c r="E21" s="29">
        <v>1949</v>
      </c>
      <c r="F21" s="29">
        <v>2306</v>
      </c>
      <c r="G21" s="30">
        <f t="shared" ref="G21:G30" si="4">F21/I21</f>
        <v>192.16666666666666</v>
      </c>
      <c r="H21" s="30">
        <f t="shared" ref="H21:H30" si="5">E21/I21</f>
        <v>162.41666666666666</v>
      </c>
      <c r="I21" s="27">
        <v>12</v>
      </c>
    </row>
    <row r="22" spans="2:17" ht="21.75" thickBot="1" x14ac:dyDescent="0.3">
      <c r="B22" s="28">
        <v>2</v>
      </c>
      <c r="C22" s="29" t="s">
        <v>51</v>
      </c>
      <c r="D22" s="29">
        <v>7</v>
      </c>
      <c r="E22" s="29">
        <v>1840</v>
      </c>
      <c r="F22" s="29">
        <v>2281</v>
      </c>
      <c r="G22" s="30">
        <f t="shared" si="4"/>
        <v>190.08333333333334</v>
      </c>
      <c r="H22" s="30">
        <f t="shared" si="5"/>
        <v>153.33333333333334</v>
      </c>
      <c r="I22" s="27">
        <v>12</v>
      </c>
    </row>
    <row r="23" spans="2:17" ht="21.75" thickBot="1" x14ac:dyDescent="0.3">
      <c r="B23" s="28">
        <v>3</v>
      </c>
      <c r="C23" s="29" t="s">
        <v>207</v>
      </c>
      <c r="D23" s="29">
        <v>7</v>
      </c>
      <c r="E23" s="29">
        <v>2280</v>
      </c>
      <c r="F23" s="29">
        <v>2280</v>
      </c>
      <c r="G23" s="30">
        <f t="shared" si="4"/>
        <v>190</v>
      </c>
      <c r="H23" s="30">
        <f t="shared" si="5"/>
        <v>190</v>
      </c>
      <c r="I23" s="27">
        <v>12</v>
      </c>
    </row>
    <row r="24" spans="2:17" ht="21.75" thickBot="1" x14ac:dyDescent="0.3">
      <c r="B24" s="28">
        <v>4</v>
      </c>
      <c r="C24" s="29" t="s">
        <v>88</v>
      </c>
      <c r="D24" s="29">
        <v>7</v>
      </c>
      <c r="E24" s="29">
        <v>1924</v>
      </c>
      <c r="F24" s="29">
        <v>2215</v>
      </c>
      <c r="G24" s="30">
        <f t="shared" si="4"/>
        <v>184.58333333333334</v>
      </c>
      <c r="H24" s="30">
        <f t="shared" si="5"/>
        <v>160.33333333333334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58</v>
      </c>
      <c r="D25" s="29">
        <v>6</v>
      </c>
      <c r="E25" s="29">
        <v>1921</v>
      </c>
      <c r="F25" s="29">
        <v>2194</v>
      </c>
      <c r="G25" s="30">
        <f t="shared" si="4"/>
        <v>182.83333333333334</v>
      </c>
      <c r="H25" s="30">
        <f t="shared" si="5"/>
        <v>160.08333333333334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204</v>
      </c>
      <c r="D26" s="29">
        <v>5</v>
      </c>
      <c r="E26" s="29">
        <v>2073</v>
      </c>
      <c r="F26" s="29">
        <v>2295</v>
      </c>
      <c r="G26" s="30">
        <f t="shared" si="4"/>
        <v>191.25</v>
      </c>
      <c r="H26" s="30">
        <f t="shared" si="5"/>
        <v>172.75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144</v>
      </c>
      <c r="D27" s="29">
        <v>5</v>
      </c>
      <c r="E27" s="29">
        <v>1815</v>
      </c>
      <c r="F27" s="29">
        <v>2295</v>
      </c>
      <c r="G27" s="30">
        <f t="shared" si="4"/>
        <v>191.25</v>
      </c>
      <c r="H27" s="30">
        <f t="shared" si="5"/>
        <v>151.25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206</v>
      </c>
      <c r="D28" s="29">
        <v>5</v>
      </c>
      <c r="E28" s="29">
        <v>1565</v>
      </c>
      <c r="F28" s="29">
        <v>2252</v>
      </c>
      <c r="G28" s="30">
        <f t="shared" si="4"/>
        <v>187.66666666666666</v>
      </c>
      <c r="H28" s="30">
        <f t="shared" si="5"/>
        <v>130.41666666666666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23</v>
      </c>
      <c r="D29" s="29">
        <v>4</v>
      </c>
      <c r="E29" s="29">
        <v>1673</v>
      </c>
      <c r="F29" s="29">
        <v>2183</v>
      </c>
      <c r="G29" s="30">
        <f t="shared" si="4"/>
        <v>181.91666666666666</v>
      </c>
      <c r="H29" s="30">
        <f t="shared" si="5"/>
        <v>139.41666666666666</v>
      </c>
      <c r="I29" s="27">
        <v>12</v>
      </c>
    </row>
    <row r="30" spans="2:17" ht="21.75" thickBot="1" x14ac:dyDescent="0.3">
      <c r="B30" s="34">
        <v>10</v>
      </c>
      <c r="C30" s="29" t="s">
        <v>91</v>
      </c>
      <c r="D30" s="29">
        <v>4</v>
      </c>
      <c r="E30" s="29">
        <v>1643</v>
      </c>
      <c r="F30" s="29">
        <v>2138</v>
      </c>
      <c r="G30" s="30">
        <f t="shared" si="4"/>
        <v>178.16666666666666</v>
      </c>
      <c r="H30" s="30">
        <f t="shared" si="5"/>
        <v>136.91666666666666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18683</v>
      </c>
      <c r="F33" s="38">
        <f>SUM(F21:F32)</f>
        <v>22439</v>
      </c>
      <c r="G33" s="30">
        <f>F33/I33</f>
        <v>186.99166666666667</v>
      </c>
      <c r="H33" s="30">
        <f>E33/I33</f>
        <v>155.69166666666666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6"/>
  <sheetViews>
    <sheetView topLeftCell="A97" workbookViewId="0">
      <selection activeCell="K154" sqref="K154"/>
    </sheetView>
  </sheetViews>
  <sheetFormatPr baseColWidth="10" defaultColWidth="13.140625" defaultRowHeight="15" x14ac:dyDescent="0.35"/>
  <cols>
    <col min="1" max="1" width="6.28515625" style="1" customWidth="1"/>
    <col min="2" max="2" width="6.7109375" style="1" customWidth="1"/>
    <col min="3" max="3" width="30.42578125" style="1" customWidth="1"/>
    <col min="4" max="4" width="18.85546875" style="2" customWidth="1"/>
    <col min="5" max="5" width="14.7109375" style="3" customWidth="1"/>
    <col min="6" max="6" width="10.85546875" style="1" customWidth="1"/>
    <col min="7" max="7" width="20" style="1" customWidth="1"/>
    <col min="8" max="8" width="14.42578125" style="3" customWidth="1"/>
    <col min="9" max="9" width="16.42578125" style="2" customWidth="1"/>
    <col min="10" max="12" width="13.140625" style="1"/>
    <col min="13" max="13" width="15.42578125" style="1" customWidth="1"/>
    <col min="14" max="16384" width="13.140625" style="4"/>
  </cols>
  <sheetData>
    <row r="2" spans="1:13" ht="23.25" x14ac:dyDescent="0.35">
      <c r="A2" s="5"/>
      <c r="B2" s="5"/>
      <c r="C2" s="6" t="s">
        <v>0</v>
      </c>
      <c r="D2" s="3">
        <v>7</v>
      </c>
      <c r="F2" s="5" t="s">
        <v>1</v>
      </c>
      <c r="G2" s="7">
        <v>46309</v>
      </c>
      <c r="H2" s="5"/>
      <c r="I2" s="8"/>
      <c r="J2" s="5"/>
      <c r="K2" s="5"/>
      <c r="M2" s="7"/>
    </row>
    <row r="4" spans="1:13" ht="23.25" x14ac:dyDescent="0.35">
      <c r="B4" s="9"/>
      <c r="C4" s="146" t="s">
        <v>2</v>
      </c>
      <c r="D4" s="8" t="s">
        <v>3</v>
      </c>
      <c r="E4" s="10" t="s">
        <v>4</v>
      </c>
      <c r="F4" s="5" t="s">
        <v>5</v>
      </c>
      <c r="G4" s="5" t="s">
        <v>6</v>
      </c>
      <c r="H4" s="10" t="s">
        <v>7</v>
      </c>
      <c r="I4" s="8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ht="23.25" x14ac:dyDescent="0.35">
      <c r="A5" s="1" t="s">
        <v>13</v>
      </c>
      <c r="B5" s="1">
        <v>1</v>
      </c>
      <c r="C5" s="4" t="s">
        <v>14</v>
      </c>
      <c r="D5" s="2">
        <f>SUM(G5)/F5</f>
        <v>148.52380952380952</v>
      </c>
      <c r="E5" s="3">
        <f t="shared" ref="E5:E10" si="0">SUM(200-D5)*0.8</f>
        <v>41.180952380952391</v>
      </c>
      <c r="F5" s="1">
        <f>3+3+3+3+3+3+3</f>
        <v>21</v>
      </c>
      <c r="G5" s="1">
        <f>488+461+433+444+396+422+475</f>
        <v>3119</v>
      </c>
      <c r="H5" s="3">
        <f>584+557+517+531+483+548+601</f>
        <v>3821</v>
      </c>
      <c r="I5" s="2">
        <f>SUM(H5)/F5</f>
        <v>181.95238095238096</v>
      </c>
      <c r="J5" s="1">
        <v>488</v>
      </c>
      <c r="K5" s="1">
        <v>601</v>
      </c>
      <c r="L5" s="1">
        <v>171</v>
      </c>
      <c r="M5" s="1">
        <v>213</v>
      </c>
    </row>
    <row r="6" spans="1:13" ht="23.25" x14ac:dyDescent="0.35">
      <c r="A6" s="1" t="s">
        <v>15</v>
      </c>
      <c r="B6" s="1">
        <v>2</v>
      </c>
      <c r="C6" s="4" t="s">
        <v>16</v>
      </c>
      <c r="D6" s="2">
        <f>SUM(G6)/F6</f>
        <v>165.06666666666666</v>
      </c>
      <c r="E6" s="3">
        <f t="shared" si="0"/>
        <v>27.946666666666673</v>
      </c>
      <c r="F6" s="1">
        <f>3+3+3+3+3</f>
        <v>15</v>
      </c>
      <c r="G6" s="1">
        <f>518+489+474+474+521</f>
        <v>2476</v>
      </c>
      <c r="H6" s="3">
        <f>569+543+528+528+611</f>
        <v>2779</v>
      </c>
      <c r="I6" s="2">
        <f>SUM(H6)/F6</f>
        <v>185.26666666666668</v>
      </c>
      <c r="J6" s="1">
        <v>521</v>
      </c>
      <c r="K6" s="1">
        <v>611</v>
      </c>
      <c r="L6" s="1">
        <v>217</v>
      </c>
      <c r="M6" s="1">
        <v>234</v>
      </c>
    </row>
    <row r="7" spans="1:13" ht="19.5" customHeight="1" x14ac:dyDescent="0.35">
      <c r="A7" s="1" t="s">
        <v>15</v>
      </c>
      <c r="B7" s="1">
        <v>3</v>
      </c>
      <c r="C7" s="11" t="s">
        <v>33</v>
      </c>
      <c r="D7" s="2">
        <f>SUM(G7)/F7</f>
        <v>159.66666666666666</v>
      </c>
      <c r="E7" s="3">
        <f>SUM(200-D7)*0.8</f>
        <v>32.266666666666673</v>
      </c>
      <c r="F7" s="1">
        <f>3</f>
        <v>3</v>
      </c>
      <c r="G7" s="1">
        <f>479</f>
        <v>479</v>
      </c>
      <c r="H7" s="3">
        <f>575</f>
        <v>575</v>
      </c>
      <c r="I7" s="2">
        <f>SUM(H7)/F7</f>
        <v>191.66666666666666</v>
      </c>
      <c r="J7" s="1">
        <v>479</v>
      </c>
      <c r="K7" s="1">
        <v>575</v>
      </c>
      <c r="L7" s="1">
        <v>176</v>
      </c>
      <c r="M7" s="1">
        <v>208</v>
      </c>
    </row>
    <row r="8" spans="1:13" ht="23.25" x14ac:dyDescent="0.35">
      <c r="A8" s="1" t="s">
        <v>13</v>
      </c>
      <c r="B8" s="1">
        <v>4</v>
      </c>
      <c r="C8" s="4" t="s">
        <v>18</v>
      </c>
      <c r="D8" s="2">
        <f>SUM(G8)/F8</f>
        <v>132.19999999999999</v>
      </c>
      <c r="E8" s="3">
        <f t="shared" si="0"/>
        <v>54.240000000000009</v>
      </c>
      <c r="F8" s="1">
        <f>3+3+3+3+3</f>
        <v>15</v>
      </c>
      <c r="G8" s="1">
        <f>403+401+430+430+319</f>
        <v>1983</v>
      </c>
      <c r="H8" s="3">
        <f>511+512+544+544+433</f>
        <v>2544</v>
      </c>
      <c r="I8" s="2">
        <f>SUM(H8)/F8</f>
        <v>169.6</v>
      </c>
      <c r="J8" s="1">
        <v>430</v>
      </c>
      <c r="K8" s="1">
        <v>544</v>
      </c>
      <c r="L8" s="1">
        <v>175</v>
      </c>
      <c r="M8" s="1">
        <v>213</v>
      </c>
    </row>
    <row r="9" spans="1:13" ht="23.25" x14ac:dyDescent="0.35">
      <c r="A9" s="1" t="s">
        <v>15</v>
      </c>
      <c r="B9" s="1">
        <v>5</v>
      </c>
      <c r="C9" s="4" t="s">
        <v>19</v>
      </c>
      <c r="D9" s="2">
        <f>SUM(G9)/F9</f>
        <v>174</v>
      </c>
      <c r="E9" s="3">
        <f t="shared" si="0"/>
        <v>20.8</v>
      </c>
      <c r="F9" s="1">
        <f>3+3+3+3+3+3</f>
        <v>18</v>
      </c>
      <c r="G9" s="1">
        <f>568+565+536+443+484+536</f>
        <v>3132</v>
      </c>
      <c r="H9" s="3">
        <f>595+592+563+470+541+602</f>
        <v>3363</v>
      </c>
      <c r="I9" s="2">
        <f>SUM(H9)/F9</f>
        <v>186.83333333333334</v>
      </c>
      <c r="J9" s="1">
        <v>568</v>
      </c>
      <c r="K9" s="1">
        <v>602</v>
      </c>
      <c r="L9" s="1">
        <v>201</v>
      </c>
      <c r="M9" s="1">
        <v>210</v>
      </c>
    </row>
    <row r="10" spans="1:13" ht="23.25" x14ac:dyDescent="0.35">
      <c r="A10" s="1" t="s">
        <v>15</v>
      </c>
      <c r="B10" s="1">
        <v>6</v>
      </c>
      <c r="C10" s="4" t="s">
        <v>20</v>
      </c>
      <c r="D10" s="2">
        <f>SUM(G10)/F10</f>
        <v>185.5</v>
      </c>
      <c r="E10" s="3">
        <f t="shared" si="0"/>
        <v>11.600000000000001</v>
      </c>
      <c r="F10" s="1">
        <f>3+3+3+3</f>
        <v>12</v>
      </c>
      <c r="G10" s="1">
        <f>642+514+497+573</f>
        <v>2226</v>
      </c>
      <c r="H10" s="3">
        <f>714+580+515+612</f>
        <v>2421</v>
      </c>
      <c r="I10" s="2">
        <f>SUM(H10)/F10</f>
        <v>201.75</v>
      </c>
      <c r="J10" s="1">
        <v>642</v>
      </c>
      <c r="K10" s="1">
        <v>714</v>
      </c>
      <c r="L10" s="1">
        <v>246</v>
      </c>
      <c r="M10" s="1">
        <v>270</v>
      </c>
    </row>
    <row r="11" spans="1:13" ht="23.25" x14ac:dyDescent="0.35">
      <c r="C11" s="4"/>
      <c r="D11" s="4"/>
      <c r="E11" s="4"/>
      <c r="F11" s="4"/>
      <c r="G11" s="4"/>
      <c r="H11" s="4"/>
      <c r="I11" s="4"/>
    </row>
    <row r="12" spans="1:13" ht="23.25" x14ac:dyDescent="0.35">
      <c r="C12" s="4"/>
      <c r="D12" s="4"/>
      <c r="E12" s="4"/>
      <c r="F12" s="4"/>
      <c r="G12" s="4"/>
      <c r="H12" s="4"/>
      <c r="I12" s="4"/>
    </row>
    <row r="13" spans="1:13" ht="23.25" x14ac:dyDescent="0.35">
      <c r="C13" s="4" t="s">
        <v>21</v>
      </c>
      <c r="D13" s="2" t="e">
        <f>SUM(G13)/F13</f>
        <v>#VALUE!</v>
      </c>
      <c r="F13" s="1" t="s">
        <v>230</v>
      </c>
      <c r="G13" s="1" t="s">
        <v>230</v>
      </c>
      <c r="H13" s="3" t="s">
        <v>230</v>
      </c>
      <c r="I13" s="2" t="e">
        <f>SUM(H13)/F13</f>
        <v>#VALUE!</v>
      </c>
      <c r="J13" s="5"/>
      <c r="K13" s="5"/>
      <c r="L13" s="5"/>
      <c r="M13" s="5"/>
    </row>
    <row r="14" spans="1:13" ht="23.25" x14ac:dyDescent="0.35">
      <c r="C14" s="14" t="s">
        <v>22</v>
      </c>
      <c r="D14" s="8">
        <f>SUM(G14)/F14</f>
        <v>159.70238095238096</v>
      </c>
      <c r="E14" s="10"/>
      <c r="F14" s="5">
        <f>SUM(F5:F13)</f>
        <v>84</v>
      </c>
      <c r="G14" s="15">
        <f>SUM(G5:G13)</f>
        <v>13415</v>
      </c>
      <c r="H14" s="10">
        <f>SUM(H5:H13)</f>
        <v>15503</v>
      </c>
      <c r="I14" s="8">
        <f>SUM(H14)/F14</f>
        <v>184.5595238095238</v>
      </c>
    </row>
    <row r="15" spans="1:13" ht="23.25" x14ac:dyDescent="0.35">
      <c r="C15" s="4"/>
    </row>
    <row r="16" spans="1:13" ht="23.25" x14ac:dyDescent="0.35">
      <c r="B16" s="9"/>
      <c r="C16" s="146" t="s">
        <v>23</v>
      </c>
      <c r="D16" s="8" t="s">
        <v>3</v>
      </c>
      <c r="E16" s="10" t="s">
        <v>4</v>
      </c>
      <c r="F16" s="5" t="s">
        <v>5</v>
      </c>
      <c r="G16" s="5" t="s">
        <v>6</v>
      </c>
      <c r="H16" s="10" t="s">
        <v>7</v>
      </c>
      <c r="I16" s="8" t="s">
        <v>8</v>
      </c>
      <c r="J16" s="5" t="s">
        <v>9</v>
      </c>
      <c r="K16" s="5" t="s">
        <v>10</v>
      </c>
      <c r="L16" s="5" t="s">
        <v>11</v>
      </c>
      <c r="M16" s="5" t="s">
        <v>12</v>
      </c>
    </row>
    <row r="17" spans="1:17" ht="23.25" x14ac:dyDescent="0.35">
      <c r="A17" s="1" t="s">
        <v>15</v>
      </c>
      <c r="B17" s="1">
        <v>1</v>
      </c>
      <c r="C17" s="11" t="s">
        <v>24</v>
      </c>
      <c r="D17" s="2">
        <f t="shared" ref="D17:D22" si="1">SUM(G17)/F17</f>
        <v>174.23809523809524</v>
      </c>
      <c r="E17" s="3">
        <f t="shared" ref="E17:E22" si="2">SUM(200-D17)*0.8</f>
        <v>20.609523809523807</v>
      </c>
      <c r="F17" s="1">
        <f>3+3+3+3+3+3+3</f>
        <v>21</v>
      </c>
      <c r="G17" s="1">
        <f>524+546+459+506+552+495+577</f>
        <v>3659</v>
      </c>
      <c r="H17" s="3">
        <f>560+585+498+548+594+561+646</f>
        <v>3992</v>
      </c>
      <c r="I17" s="2">
        <v>192.66</v>
      </c>
      <c r="J17" s="1">
        <v>577</v>
      </c>
      <c r="K17" s="1">
        <v>646</v>
      </c>
      <c r="L17" s="1">
        <v>227</v>
      </c>
      <c r="M17" s="1">
        <v>250</v>
      </c>
    </row>
    <row r="18" spans="1:17" ht="23.25" x14ac:dyDescent="0.35">
      <c r="A18" s="1" t="s">
        <v>15</v>
      </c>
      <c r="B18" s="1">
        <v>2</v>
      </c>
      <c r="C18" s="4" t="s">
        <v>25</v>
      </c>
      <c r="D18" s="2">
        <f t="shared" si="1"/>
        <v>128.25</v>
      </c>
      <c r="E18" s="3">
        <f t="shared" si="2"/>
        <v>57.400000000000006</v>
      </c>
      <c r="F18" s="1">
        <f>3+3+3+3</f>
        <v>12</v>
      </c>
      <c r="G18" s="1">
        <f>341+424+382+392</f>
        <v>1539</v>
      </c>
      <c r="H18" s="3">
        <f>458+547+556+566</f>
        <v>2127</v>
      </c>
      <c r="I18" s="2">
        <v>192.9111111111111</v>
      </c>
      <c r="J18" s="1">
        <v>424</v>
      </c>
      <c r="K18" s="1">
        <v>566</v>
      </c>
      <c r="L18" s="1">
        <v>165</v>
      </c>
      <c r="M18" s="1">
        <v>206</v>
      </c>
      <c r="P18" s="1"/>
      <c r="Q18" s="3"/>
    </row>
    <row r="19" spans="1:17" ht="23.25" x14ac:dyDescent="0.35">
      <c r="A19" s="1" t="s">
        <v>15</v>
      </c>
      <c r="B19" s="1">
        <v>3</v>
      </c>
      <c r="C19" s="4" t="s">
        <v>223</v>
      </c>
      <c r="D19" s="2">
        <f t="shared" si="1"/>
        <v>174.22222222222223</v>
      </c>
      <c r="E19" s="3">
        <f t="shared" si="2"/>
        <v>20.62222222222222</v>
      </c>
      <c r="F19" s="1">
        <f>3+3+3</f>
        <v>9</v>
      </c>
      <c r="G19" s="1">
        <f>538+491+539</f>
        <v>1568</v>
      </c>
      <c r="H19" s="3">
        <f>613+563+614</f>
        <v>1790</v>
      </c>
      <c r="I19" s="2">
        <f t="shared" ref="I19:I24" si="3">SUM(H19)/F19</f>
        <v>198.88888888888889</v>
      </c>
      <c r="J19" s="1">
        <v>539</v>
      </c>
      <c r="K19" s="1">
        <v>614</v>
      </c>
      <c r="L19" s="1">
        <v>184</v>
      </c>
      <c r="M19" s="1">
        <v>209</v>
      </c>
      <c r="P19" s="1"/>
      <c r="Q19" s="3"/>
    </row>
    <row r="20" spans="1:17" ht="23.25" x14ac:dyDescent="0.35">
      <c r="A20" s="1" t="s">
        <v>13</v>
      </c>
      <c r="B20" s="1">
        <v>4</v>
      </c>
      <c r="C20" s="4" t="s">
        <v>26</v>
      </c>
      <c r="D20" s="2">
        <f t="shared" si="1"/>
        <v>126.22222222222223</v>
      </c>
      <c r="E20" s="3">
        <f t="shared" si="2"/>
        <v>59.022222222222219</v>
      </c>
      <c r="F20" s="1">
        <f>3+3+3+3+3+3</f>
        <v>18</v>
      </c>
      <c r="G20" s="1">
        <f>304+428+363+414+346+417</f>
        <v>2272</v>
      </c>
      <c r="H20" s="3">
        <f>436+566+501+552+523+600</f>
        <v>3178</v>
      </c>
      <c r="I20" s="2">
        <f t="shared" si="3"/>
        <v>176.55555555555554</v>
      </c>
      <c r="J20" s="1">
        <v>428</v>
      </c>
      <c r="K20" s="1">
        <v>600</v>
      </c>
      <c r="L20" s="1">
        <v>154</v>
      </c>
      <c r="M20" s="1">
        <v>213</v>
      </c>
      <c r="P20" s="1"/>
      <c r="Q20" s="3"/>
    </row>
    <row r="21" spans="1:17" ht="23.25" x14ac:dyDescent="0.35">
      <c r="A21" s="1" t="s">
        <v>13</v>
      </c>
      <c r="B21" s="1">
        <v>5</v>
      </c>
      <c r="C21" s="4" t="s">
        <v>27</v>
      </c>
      <c r="D21" s="2">
        <f t="shared" si="1"/>
        <v>137.66666666666666</v>
      </c>
      <c r="E21" s="3">
        <f t="shared" si="2"/>
        <v>49.866666666666674</v>
      </c>
      <c r="F21" s="1">
        <f>3</f>
        <v>3</v>
      </c>
      <c r="G21" s="1">
        <f>413</f>
        <v>413</v>
      </c>
      <c r="H21" s="3">
        <f>533</f>
        <v>533</v>
      </c>
      <c r="I21" s="2">
        <f t="shared" si="3"/>
        <v>177.66666666666666</v>
      </c>
      <c r="J21" s="1">
        <v>413</v>
      </c>
      <c r="K21" s="1">
        <v>533</v>
      </c>
      <c r="L21" s="1">
        <v>153</v>
      </c>
      <c r="M21" s="1">
        <v>193</v>
      </c>
      <c r="P21" s="1"/>
      <c r="Q21" s="3"/>
    </row>
    <row r="22" spans="1:17" ht="23.25" x14ac:dyDescent="0.35">
      <c r="A22" s="1" t="s">
        <v>15</v>
      </c>
      <c r="B22" s="1">
        <v>6</v>
      </c>
      <c r="C22" s="11" t="s">
        <v>28</v>
      </c>
      <c r="D22" s="2">
        <f t="shared" si="1"/>
        <v>159.55555555555554</v>
      </c>
      <c r="E22" s="3">
        <f t="shared" si="2"/>
        <v>32.355555555555569</v>
      </c>
      <c r="F22" s="1">
        <f>3+3+3+3+3+3</f>
        <v>18</v>
      </c>
      <c r="G22" s="1">
        <f>494+495+441+500+450+492</f>
        <v>2872</v>
      </c>
      <c r="H22" s="3">
        <f>545+549+495+554+543+591</f>
        <v>3277</v>
      </c>
      <c r="I22" s="2">
        <f t="shared" si="3"/>
        <v>182.05555555555554</v>
      </c>
      <c r="J22" s="1">
        <v>500</v>
      </c>
      <c r="K22" s="1">
        <v>554</v>
      </c>
      <c r="L22" s="1">
        <v>230</v>
      </c>
      <c r="M22" s="1">
        <v>248</v>
      </c>
    </row>
    <row r="23" spans="1:17" ht="23.25" x14ac:dyDescent="0.35">
      <c r="A23" s="1" t="s">
        <v>15</v>
      </c>
      <c r="B23" s="1">
        <v>7</v>
      </c>
      <c r="C23" s="4" t="s">
        <v>229</v>
      </c>
      <c r="D23" s="1">
        <f>SUM(G23)/F23</f>
        <v>161</v>
      </c>
      <c r="E23" s="155">
        <f>SUM(200-D23)*0.8</f>
        <v>31.200000000000003</v>
      </c>
      <c r="F23" s="1">
        <f>3</f>
        <v>3</v>
      </c>
      <c r="G23" s="1">
        <f>483</f>
        <v>483</v>
      </c>
      <c r="H23" s="1">
        <f>576</f>
        <v>576</v>
      </c>
      <c r="I23" s="1">
        <f t="shared" si="3"/>
        <v>192</v>
      </c>
      <c r="J23" s="1">
        <v>483</v>
      </c>
      <c r="K23" s="1">
        <v>576</v>
      </c>
      <c r="L23" s="1">
        <v>177</v>
      </c>
      <c r="M23" s="1">
        <v>208</v>
      </c>
    </row>
    <row r="24" spans="1:17" ht="23.25" x14ac:dyDescent="0.35">
      <c r="C24" s="4" t="s">
        <v>21</v>
      </c>
      <c r="D24" s="2" t="e">
        <f>SUM(G24)/F24</f>
        <v>#VALUE!</v>
      </c>
      <c r="F24" s="1" t="s">
        <v>230</v>
      </c>
      <c r="G24" s="1" t="s">
        <v>230</v>
      </c>
      <c r="H24" s="3" t="s">
        <v>230</v>
      </c>
      <c r="I24" s="2" t="e">
        <f t="shared" si="3"/>
        <v>#VALUE!</v>
      </c>
    </row>
    <row r="25" spans="1:17" ht="23.25" x14ac:dyDescent="0.35">
      <c r="C25" s="14" t="s">
        <v>22</v>
      </c>
      <c r="D25" s="8">
        <f>SUM(G25)/F25</f>
        <v>152.45238095238096</v>
      </c>
      <c r="E25" s="10"/>
      <c r="F25" s="5">
        <f>SUM(F17:F24)</f>
        <v>84</v>
      </c>
      <c r="G25" s="15">
        <f>SUM(G17:G24)</f>
        <v>12806</v>
      </c>
      <c r="H25" s="10">
        <f>SUM(H17:H24)</f>
        <v>15473</v>
      </c>
      <c r="I25" s="8"/>
      <c r="J25" s="5"/>
      <c r="K25" s="5"/>
      <c r="L25" s="5"/>
      <c r="M25" s="5"/>
    </row>
    <row r="26" spans="1:17" ht="23.25" x14ac:dyDescent="0.35">
      <c r="C26" s="4"/>
    </row>
    <row r="27" spans="1:17" ht="23.25" x14ac:dyDescent="0.35">
      <c r="B27" s="9"/>
      <c r="C27" s="4"/>
    </row>
    <row r="28" spans="1:17" ht="23.25" x14ac:dyDescent="0.35">
      <c r="C28" s="146" t="s">
        <v>144</v>
      </c>
      <c r="D28" s="8" t="s">
        <v>3</v>
      </c>
      <c r="E28" s="10" t="s">
        <v>4</v>
      </c>
      <c r="F28" s="5" t="s">
        <v>5</v>
      </c>
      <c r="G28" s="5" t="s">
        <v>6</v>
      </c>
      <c r="H28" s="10" t="s">
        <v>7</v>
      </c>
      <c r="I28" s="8" t="s">
        <v>8</v>
      </c>
      <c r="J28" s="5" t="s">
        <v>9</v>
      </c>
      <c r="K28" s="5" t="s">
        <v>10</v>
      </c>
      <c r="L28" s="5" t="s">
        <v>11</v>
      </c>
      <c r="M28" s="5" t="s">
        <v>12</v>
      </c>
    </row>
    <row r="29" spans="1:17" ht="23.25" x14ac:dyDescent="0.35">
      <c r="A29" s="1" t="s">
        <v>15</v>
      </c>
      <c r="B29" s="1">
        <v>1</v>
      </c>
      <c r="C29" s="4" t="s">
        <v>47</v>
      </c>
      <c r="D29" s="2">
        <f t="shared" ref="D29:D34" si="4">SUM(G29)/F29</f>
        <v>176.14285714285714</v>
      </c>
      <c r="E29" s="3">
        <f t="shared" ref="E29:E34" si="5">SUM(200-D29)*0.8</f>
        <v>19.085714285714289</v>
      </c>
      <c r="F29" s="1">
        <f>3+3+3+3+3+3+3</f>
        <v>21</v>
      </c>
      <c r="G29" s="1">
        <f>553+492+512+512+593+527+510</f>
        <v>3699</v>
      </c>
      <c r="H29" s="3">
        <f>604+546+566+566+647+581+564</f>
        <v>4074</v>
      </c>
      <c r="I29" s="2">
        <f t="shared" ref="I29:I34" si="6">SUM(H29)/F29</f>
        <v>194</v>
      </c>
      <c r="J29" s="1">
        <v>593</v>
      </c>
      <c r="K29" s="1">
        <v>647</v>
      </c>
      <c r="L29" s="1">
        <v>231</v>
      </c>
      <c r="M29" s="1">
        <v>248</v>
      </c>
    </row>
    <row r="30" spans="1:17" ht="23.25" x14ac:dyDescent="0.35">
      <c r="A30" s="1" t="s">
        <v>15</v>
      </c>
      <c r="B30" s="1">
        <v>2</v>
      </c>
      <c r="C30" s="4" t="s">
        <v>145</v>
      </c>
      <c r="D30" s="2">
        <f t="shared" si="4"/>
        <v>83.25</v>
      </c>
      <c r="E30" s="3">
        <f t="shared" si="5"/>
        <v>93.4</v>
      </c>
      <c r="F30" s="1">
        <f>3+3+3+3</f>
        <v>12</v>
      </c>
      <c r="G30" s="1">
        <f>308+215+242+234</f>
        <v>999</v>
      </c>
      <c r="H30" s="3">
        <f>500+407+434+426</f>
        <v>1767</v>
      </c>
      <c r="I30" s="2">
        <f t="shared" si="6"/>
        <v>147.25</v>
      </c>
      <c r="J30" s="1">
        <v>308</v>
      </c>
      <c r="K30" s="1">
        <v>500</v>
      </c>
      <c r="L30" s="1">
        <v>112</v>
      </c>
      <c r="M30" s="1">
        <v>176</v>
      </c>
    </row>
    <row r="31" spans="1:17" ht="23.25" x14ac:dyDescent="0.35">
      <c r="A31" s="1" t="s">
        <v>13</v>
      </c>
      <c r="B31" s="1">
        <v>3</v>
      </c>
      <c r="C31" s="4" t="s">
        <v>146</v>
      </c>
      <c r="D31" s="2">
        <f t="shared" si="4"/>
        <v>134.19999999999999</v>
      </c>
      <c r="E31" s="3">
        <f t="shared" si="5"/>
        <v>52.640000000000015</v>
      </c>
      <c r="F31" s="1">
        <f>3+3+3+3+3</f>
        <v>15</v>
      </c>
      <c r="G31" s="1">
        <f>332+408+356+435+482</f>
        <v>2013</v>
      </c>
      <c r="H31" s="3">
        <f>524+600+542+621+656</f>
        <v>2943</v>
      </c>
      <c r="I31" s="2">
        <f t="shared" si="6"/>
        <v>196.2</v>
      </c>
      <c r="J31" s="1">
        <v>482</v>
      </c>
      <c r="K31" s="1">
        <v>656</v>
      </c>
      <c r="L31" s="1">
        <v>173</v>
      </c>
      <c r="M31" s="1">
        <v>235</v>
      </c>
    </row>
    <row r="32" spans="1:17" ht="23.25" x14ac:dyDescent="0.35">
      <c r="A32" s="1" t="s">
        <v>15</v>
      </c>
      <c r="B32" s="1">
        <v>4</v>
      </c>
      <c r="C32" s="11" t="s">
        <v>43</v>
      </c>
      <c r="D32" s="2">
        <f t="shared" si="4"/>
        <v>185.77777777777777</v>
      </c>
      <c r="E32" s="3">
        <f t="shared" si="5"/>
        <v>11.377777777777784</v>
      </c>
      <c r="F32" s="1">
        <f>3+3+3+3+3+3</f>
        <v>18</v>
      </c>
      <c r="G32" s="1">
        <f>572+539+544+510+619+560</f>
        <v>3344</v>
      </c>
      <c r="H32" s="3">
        <f>572+539+544+510+667+593</f>
        <v>3425</v>
      </c>
      <c r="I32" s="2">
        <f t="shared" si="6"/>
        <v>190.27777777777777</v>
      </c>
      <c r="J32" s="1">
        <v>619</v>
      </c>
      <c r="K32" s="1">
        <v>667</v>
      </c>
      <c r="L32" s="1">
        <v>237</v>
      </c>
      <c r="M32" s="1">
        <v>253</v>
      </c>
    </row>
    <row r="33" spans="1:13" ht="23.25" x14ac:dyDescent="0.35">
      <c r="A33" s="1" t="s">
        <v>15</v>
      </c>
      <c r="B33" s="1">
        <v>5</v>
      </c>
      <c r="C33" s="4" t="s">
        <v>40</v>
      </c>
      <c r="D33" s="2">
        <f t="shared" si="4"/>
        <v>204.5</v>
      </c>
      <c r="E33" s="3">
        <f t="shared" si="5"/>
        <v>-3.6</v>
      </c>
      <c r="F33" s="1">
        <f>3+3</f>
        <v>6</v>
      </c>
      <c r="G33" s="1">
        <f>612+615</f>
        <v>1227</v>
      </c>
      <c r="H33" s="3">
        <f>612+615</f>
        <v>1227</v>
      </c>
      <c r="I33" s="2">
        <f t="shared" si="6"/>
        <v>204.5</v>
      </c>
      <c r="J33" s="1">
        <v>615</v>
      </c>
      <c r="K33" s="1">
        <v>615</v>
      </c>
      <c r="L33" s="1">
        <v>232</v>
      </c>
      <c r="M33" s="1">
        <v>232</v>
      </c>
    </row>
    <row r="34" spans="1:13" ht="23.25" x14ac:dyDescent="0.35">
      <c r="A34" s="1" t="s">
        <v>15</v>
      </c>
      <c r="B34" s="1">
        <v>6</v>
      </c>
      <c r="C34" s="4" t="s">
        <v>41</v>
      </c>
      <c r="D34" s="2">
        <f t="shared" si="4"/>
        <v>191.88888888888889</v>
      </c>
      <c r="E34" s="3">
        <f t="shared" si="5"/>
        <v>6.4888888888888916</v>
      </c>
      <c r="F34" s="1">
        <f>3+3+3</f>
        <v>9</v>
      </c>
      <c r="G34" s="1">
        <f>572+551+604</f>
        <v>1727</v>
      </c>
      <c r="H34" s="3">
        <f>572+551+634</f>
        <v>1757</v>
      </c>
      <c r="I34" s="2">
        <f t="shared" si="6"/>
        <v>195.22222222222223</v>
      </c>
      <c r="J34" s="1">
        <v>604</v>
      </c>
      <c r="K34" s="1">
        <v>634</v>
      </c>
      <c r="L34" s="1">
        <v>225</v>
      </c>
      <c r="M34" s="1">
        <v>235</v>
      </c>
    </row>
    <row r="35" spans="1:13" ht="23.25" x14ac:dyDescent="0.35">
      <c r="C35" s="4" t="s">
        <v>21</v>
      </c>
      <c r="F35" s="1">
        <f>3</f>
        <v>3</v>
      </c>
      <c r="G35" s="1">
        <f>576</f>
        <v>576</v>
      </c>
      <c r="H35" s="3">
        <f>576</f>
        <v>576</v>
      </c>
    </row>
    <row r="36" spans="1:13" ht="23.25" x14ac:dyDescent="0.35">
      <c r="C36" s="4"/>
      <c r="F36" s="12"/>
      <c r="G36" s="12"/>
      <c r="H36" s="13"/>
    </row>
    <row r="37" spans="1:13" ht="23.25" x14ac:dyDescent="0.35">
      <c r="C37" s="14" t="s">
        <v>22</v>
      </c>
      <c r="D37" s="8">
        <f>SUM(G37)/F37</f>
        <v>161.72619047619048</v>
      </c>
      <c r="E37" s="10"/>
      <c r="F37" s="5">
        <f>SUM(F29:F36)</f>
        <v>84</v>
      </c>
      <c r="G37" s="5">
        <f>SUM(G29:G36)</f>
        <v>13585</v>
      </c>
      <c r="H37" s="16">
        <f>SUM(H29:H36)</f>
        <v>15769</v>
      </c>
      <c r="I37" s="8">
        <f>SUM(H37)/F37</f>
        <v>187.72619047619048</v>
      </c>
      <c r="J37" s="5"/>
      <c r="K37" s="5"/>
      <c r="L37" s="5"/>
      <c r="M37" s="5"/>
    </row>
    <row r="38" spans="1:13" ht="23.2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23.2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23.25" x14ac:dyDescent="0.35">
      <c r="C40" s="146" t="s">
        <v>30</v>
      </c>
      <c r="D40" s="8" t="s">
        <v>3</v>
      </c>
      <c r="E40" s="10" t="s">
        <v>4</v>
      </c>
      <c r="F40" s="5" t="s">
        <v>5</v>
      </c>
      <c r="G40" s="5" t="s">
        <v>6</v>
      </c>
      <c r="H40" s="10" t="s">
        <v>7</v>
      </c>
      <c r="I40" s="8" t="s">
        <v>8</v>
      </c>
      <c r="J40" s="5" t="s">
        <v>9</v>
      </c>
      <c r="K40" s="5" t="s">
        <v>10</v>
      </c>
      <c r="L40" s="5" t="s">
        <v>11</v>
      </c>
      <c r="M40" s="5" t="s">
        <v>12</v>
      </c>
    </row>
    <row r="41" spans="1:13" ht="23.25" x14ac:dyDescent="0.35">
      <c r="C41" s="4"/>
    </row>
    <row r="42" spans="1:13" ht="23.25" x14ac:dyDescent="0.35">
      <c r="A42" s="1" t="s">
        <v>15</v>
      </c>
      <c r="B42" s="1">
        <v>1</v>
      </c>
      <c r="C42" s="4" t="s">
        <v>31</v>
      </c>
      <c r="D42" s="2">
        <f t="shared" ref="D42:D47" si="7">SUM(G42)/F42</f>
        <v>175.66666666666666</v>
      </c>
      <c r="E42" s="3">
        <f t="shared" ref="E42:E47" si="8">SUM(200-D42)*0.8</f>
        <v>19.466666666666676</v>
      </c>
      <c r="F42" s="1">
        <f>3+3+3+3+3+3</f>
        <v>18</v>
      </c>
      <c r="G42" s="1">
        <f>546+482+514+545+541+534</f>
        <v>3162</v>
      </c>
      <c r="H42" s="3">
        <f>606+539+574+605+601+594</f>
        <v>3519</v>
      </c>
      <c r="I42" s="2">
        <f>SUM(H42)/F42</f>
        <v>195.5</v>
      </c>
      <c r="J42" s="1">
        <v>546</v>
      </c>
      <c r="K42" s="1">
        <v>606</v>
      </c>
      <c r="L42" s="1">
        <v>211</v>
      </c>
      <c r="M42" s="1">
        <v>231</v>
      </c>
    </row>
    <row r="43" spans="1:13" ht="23.25" x14ac:dyDescent="0.35">
      <c r="A43" s="1" t="s">
        <v>15</v>
      </c>
      <c r="B43" s="1">
        <v>2</v>
      </c>
      <c r="C43" s="4" t="s">
        <v>32</v>
      </c>
      <c r="D43" s="2">
        <f t="shared" si="7"/>
        <v>148.06666666666666</v>
      </c>
      <c r="E43" s="3">
        <f t="shared" si="8"/>
        <v>41.546666666666674</v>
      </c>
      <c r="F43" s="1">
        <f>3+3+3+3+3</f>
        <v>15</v>
      </c>
      <c r="G43" s="1">
        <f>475+468+417+443+418</f>
        <v>2221</v>
      </c>
      <c r="H43" s="3">
        <f>556+549+501+530+538</f>
        <v>2674</v>
      </c>
      <c r="I43" s="2">
        <f>SUM(H43)/F43</f>
        <v>178.26666666666668</v>
      </c>
      <c r="J43" s="1">
        <v>475</v>
      </c>
      <c r="K43" s="1">
        <v>556</v>
      </c>
      <c r="L43" s="1">
        <v>197</v>
      </c>
      <c r="M43" s="1">
        <v>224</v>
      </c>
    </row>
    <row r="44" spans="1:13" ht="23.25" x14ac:dyDescent="0.35">
      <c r="A44" s="1" t="s">
        <v>15</v>
      </c>
      <c r="B44" s="1">
        <v>3</v>
      </c>
      <c r="C44" s="11" t="s">
        <v>33</v>
      </c>
      <c r="D44" s="2">
        <f t="shared" si="7"/>
        <v>165.72222222222223</v>
      </c>
      <c r="E44" s="3">
        <f t="shared" si="8"/>
        <v>27.422222222222217</v>
      </c>
      <c r="F44" s="1">
        <f>3+3+3+3+3+3</f>
        <v>18</v>
      </c>
      <c r="G44" s="1">
        <f>484+533+481+454+536+495</f>
        <v>2983</v>
      </c>
      <c r="H44" s="3">
        <f>559+611+556+532+626+576</f>
        <v>3460</v>
      </c>
      <c r="I44" s="2">
        <f>SUM(H44)/F44</f>
        <v>192.22222222222223</v>
      </c>
      <c r="J44" s="1">
        <v>536</v>
      </c>
      <c r="K44" s="1">
        <v>626</v>
      </c>
      <c r="L44" s="1">
        <v>202</v>
      </c>
      <c r="M44" s="1">
        <v>232</v>
      </c>
    </row>
    <row r="45" spans="1:13" ht="23.25" x14ac:dyDescent="0.35">
      <c r="A45" s="1" t="s">
        <v>15</v>
      </c>
      <c r="B45" s="1">
        <v>4</v>
      </c>
      <c r="C45" s="11" t="s">
        <v>29</v>
      </c>
      <c r="D45" s="2">
        <f t="shared" si="7"/>
        <v>171.5</v>
      </c>
      <c r="E45" s="3">
        <f>SUM(200-D45)*0.8</f>
        <v>22.8</v>
      </c>
      <c r="F45" s="1">
        <f>3+3+3+3+3+3</f>
        <v>18</v>
      </c>
      <c r="G45" s="1">
        <f>452+518+651+493+467+506</f>
        <v>3087</v>
      </c>
      <c r="H45" s="3">
        <f>509+575+708+547+524+572</f>
        <v>3435</v>
      </c>
      <c r="I45" s="2">
        <f>SUM(H45)/F45</f>
        <v>190.83333333333334</v>
      </c>
      <c r="J45" s="1">
        <v>651</v>
      </c>
      <c r="K45" s="1">
        <v>708</v>
      </c>
      <c r="L45" s="1">
        <v>225</v>
      </c>
      <c r="M45" s="1">
        <v>244</v>
      </c>
    </row>
    <row r="46" spans="1:13" ht="23.25" x14ac:dyDescent="0.35">
      <c r="A46" s="1" t="s">
        <v>15</v>
      </c>
      <c r="B46" s="1">
        <v>5</v>
      </c>
      <c r="C46" s="4" t="s">
        <v>34</v>
      </c>
      <c r="D46" s="2">
        <f t="shared" si="7"/>
        <v>165.16666666666666</v>
      </c>
      <c r="E46" s="3">
        <f t="shared" si="8"/>
        <v>27.866666666666674</v>
      </c>
      <c r="F46" s="1">
        <f>3+3+3+3</f>
        <v>12</v>
      </c>
      <c r="G46" s="1">
        <f>440+531+528+483</f>
        <v>1982</v>
      </c>
      <c r="H46" s="1">
        <f>563+648+618+561</f>
        <v>2390</v>
      </c>
      <c r="I46" s="2">
        <f t="shared" ref="I46:I51" si="9">SUM(H46)/F46</f>
        <v>199.16666666666666</v>
      </c>
      <c r="J46" s="1">
        <v>531</v>
      </c>
      <c r="K46" s="1">
        <v>648</v>
      </c>
      <c r="L46" s="1">
        <v>223</v>
      </c>
      <c r="M46" s="1">
        <v>253</v>
      </c>
    </row>
    <row r="47" spans="1:13" ht="23.25" customHeight="1" x14ac:dyDescent="0.35">
      <c r="A47" s="1" t="s">
        <v>13</v>
      </c>
      <c r="B47" s="1">
        <v>6</v>
      </c>
      <c r="C47" s="11" t="s">
        <v>225</v>
      </c>
      <c r="D47" s="2">
        <f t="shared" si="7"/>
        <v>116</v>
      </c>
      <c r="E47" s="3">
        <f t="shared" si="8"/>
        <v>67.2</v>
      </c>
      <c r="F47" s="1">
        <f>3</f>
        <v>3</v>
      </c>
      <c r="G47" s="1">
        <f>348</f>
        <v>348</v>
      </c>
      <c r="H47" s="3">
        <f>540</f>
        <v>540</v>
      </c>
      <c r="I47" s="2">
        <f>SUM(H47)/F47</f>
        <v>180</v>
      </c>
      <c r="J47" s="1">
        <v>348</v>
      </c>
      <c r="K47" s="1">
        <v>540</v>
      </c>
      <c r="L47" s="1">
        <v>129</v>
      </c>
      <c r="M47" s="1">
        <v>193</v>
      </c>
    </row>
    <row r="48" spans="1:13" ht="23.2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23.2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23.25" x14ac:dyDescent="0.35">
      <c r="C50" s="4" t="s">
        <v>21</v>
      </c>
      <c r="D50" s="2" t="e">
        <f>SUM(G50)/F50</f>
        <v>#VALUE!</v>
      </c>
      <c r="F50" s="1" t="s">
        <v>230</v>
      </c>
      <c r="G50" s="1" t="s">
        <v>230</v>
      </c>
      <c r="H50" s="3" t="s">
        <v>230</v>
      </c>
      <c r="I50" s="2" t="e">
        <f t="shared" si="9"/>
        <v>#VALUE!</v>
      </c>
      <c r="J50" s="4"/>
      <c r="K50" s="4"/>
      <c r="L50" s="4"/>
      <c r="M50" s="4"/>
    </row>
    <row r="51" spans="1:13" ht="23.25" x14ac:dyDescent="0.35">
      <c r="C51" s="14" t="s">
        <v>22</v>
      </c>
      <c r="D51" s="8">
        <f>SUM(G51)/F51</f>
        <v>164.08333333333334</v>
      </c>
      <c r="E51" s="10"/>
      <c r="F51" s="5">
        <f>SUM(F42:F50)</f>
        <v>84</v>
      </c>
      <c r="G51" s="5">
        <f>SUM(G41:G50)</f>
        <v>13783</v>
      </c>
      <c r="H51" s="16">
        <f>SUM(H41:H50)</f>
        <v>16018</v>
      </c>
      <c r="I51" s="8">
        <f t="shared" si="9"/>
        <v>190.6904761904762</v>
      </c>
      <c r="J51" s="5"/>
      <c r="K51" s="5"/>
      <c r="L51" s="5"/>
      <c r="M51" s="5"/>
    </row>
    <row r="52" spans="1:13" ht="23.25" x14ac:dyDescent="0.35">
      <c r="C52" s="4"/>
    </row>
    <row r="53" spans="1:13" ht="23.25" x14ac:dyDescent="0.35">
      <c r="B53" s="9"/>
      <c r="C53" s="4"/>
    </row>
    <row r="54" spans="1:13" ht="23.25" x14ac:dyDescent="0.35">
      <c r="C54" s="5" t="s">
        <v>205</v>
      </c>
      <c r="D54" s="8" t="s">
        <v>3</v>
      </c>
      <c r="E54" s="10" t="s">
        <v>4</v>
      </c>
      <c r="F54" s="5" t="s">
        <v>5</v>
      </c>
      <c r="G54" s="5" t="s">
        <v>6</v>
      </c>
      <c r="H54" s="10" t="s">
        <v>7</v>
      </c>
      <c r="I54" s="8" t="s">
        <v>8</v>
      </c>
      <c r="J54" s="5" t="s">
        <v>9</v>
      </c>
      <c r="K54" s="5" t="s">
        <v>10</v>
      </c>
      <c r="L54" s="5" t="s">
        <v>11</v>
      </c>
      <c r="M54" s="5" t="s">
        <v>12</v>
      </c>
    </row>
    <row r="55" spans="1:13" ht="23.2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23.2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23.25" x14ac:dyDescent="0.35">
      <c r="C57" s="146" t="s">
        <v>200</v>
      </c>
      <c r="D57" s="8" t="s">
        <v>3</v>
      </c>
      <c r="E57" s="10" t="s">
        <v>4</v>
      </c>
      <c r="F57" s="5" t="s">
        <v>5</v>
      </c>
      <c r="G57" s="5" t="s">
        <v>6</v>
      </c>
      <c r="H57" s="10" t="s">
        <v>7</v>
      </c>
      <c r="I57" s="8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ht="23.2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23.25" x14ac:dyDescent="0.35">
      <c r="A59" s="1" t="s">
        <v>15</v>
      </c>
      <c r="B59" s="1">
        <v>1</v>
      </c>
      <c r="C59" s="11" t="s">
        <v>135</v>
      </c>
      <c r="D59" s="2">
        <f>SUM(G59)/F59</f>
        <v>152.14285714285714</v>
      </c>
      <c r="E59" s="3">
        <f>SUM(200-D59)*0.8</f>
        <v>38.285714285714292</v>
      </c>
      <c r="F59" s="1">
        <f>3+3+3+3+3+3+3</f>
        <v>21</v>
      </c>
      <c r="G59" s="1">
        <f>441+473+481+431+479+418+472</f>
        <v>3195</v>
      </c>
      <c r="H59" s="3">
        <f>546+578+586+536+587+529+589</f>
        <v>3951</v>
      </c>
      <c r="I59" s="2">
        <f>SUM(H59)/F59</f>
        <v>188.14285714285714</v>
      </c>
      <c r="J59" s="1">
        <v>481</v>
      </c>
      <c r="K59" s="1">
        <v>589</v>
      </c>
      <c r="L59" s="1">
        <v>196</v>
      </c>
      <c r="M59" s="1">
        <v>231</v>
      </c>
    </row>
    <row r="60" spans="1:13" ht="23.25" x14ac:dyDescent="0.35">
      <c r="A60" s="1" t="s">
        <v>13</v>
      </c>
      <c r="B60" s="1">
        <v>2</v>
      </c>
      <c r="C60" s="4" t="s">
        <v>201</v>
      </c>
      <c r="D60" s="1">
        <v>129.33000000000001</v>
      </c>
      <c r="E60" s="1">
        <v>57</v>
      </c>
      <c r="F60" s="1">
        <f>3</f>
        <v>3</v>
      </c>
      <c r="G60" s="1">
        <f>388</f>
        <v>388</v>
      </c>
      <c r="H60" s="1">
        <f>559</f>
        <v>559</v>
      </c>
      <c r="I60" s="1">
        <f>SUM(H60)/F60</f>
        <v>186.33333333333334</v>
      </c>
      <c r="J60" s="1">
        <v>388</v>
      </c>
      <c r="K60" s="1">
        <v>559</v>
      </c>
      <c r="L60" s="1">
        <v>150</v>
      </c>
      <c r="M60" s="1">
        <v>207</v>
      </c>
    </row>
    <row r="61" spans="1:13" ht="23.25" x14ac:dyDescent="0.35">
      <c r="A61" s="1" t="s">
        <v>15</v>
      </c>
      <c r="B61" s="1">
        <v>3</v>
      </c>
      <c r="C61" s="11" t="s">
        <v>202</v>
      </c>
      <c r="D61" s="2">
        <f>SUM(G61)/F61</f>
        <v>119.9047619047619</v>
      </c>
      <c r="E61" s="3">
        <f>SUM(200-D61)*0.8</f>
        <v>64.07619047619049</v>
      </c>
      <c r="F61" s="1">
        <f>3+3+3+3+3+3+3</f>
        <v>21</v>
      </c>
      <c r="G61" s="1">
        <f>319+353+315+373+342+441+375</f>
        <v>2518</v>
      </c>
      <c r="H61" s="3">
        <f>511+542+507+565+534+633+567</f>
        <v>3859</v>
      </c>
      <c r="I61" s="2">
        <f>SUM(H61)/F61</f>
        <v>183.76190476190476</v>
      </c>
      <c r="J61" s="1">
        <v>441</v>
      </c>
      <c r="K61" s="1">
        <v>633</v>
      </c>
      <c r="L61" s="1">
        <v>162</v>
      </c>
      <c r="M61" s="1">
        <v>226</v>
      </c>
    </row>
    <row r="62" spans="1:13" ht="23.25" x14ac:dyDescent="0.35">
      <c r="A62" s="1" t="s">
        <v>13</v>
      </c>
      <c r="B62" s="1">
        <v>4</v>
      </c>
      <c r="C62" s="11" t="s">
        <v>203</v>
      </c>
      <c r="D62" s="2">
        <f>SUM(G62)/F62</f>
        <v>114.46666666666667</v>
      </c>
      <c r="E62" s="3">
        <f>SUM(200-D62)*0.8</f>
        <v>68.426666666666662</v>
      </c>
      <c r="F62" s="1">
        <f>3+3+3+3+3</f>
        <v>15</v>
      </c>
      <c r="G62" s="1">
        <f>354+364+364+316+319</f>
        <v>1717</v>
      </c>
      <c r="H62" s="3">
        <f>546+556+556+508+511</f>
        <v>2677</v>
      </c>
      <c r="I62" s="2">
        <f>SUM(H62)/F62</f>
        <v>178.46666666666667</v>
      </c>
      <c r="J62" s="1">
        <v>364</v>
      </c>
      <c r="K62" s="1">
        <v>556</v>
      </c>
      <c r="L62" s="1">
        <v>139</v>
      </c>
      <c r="M62" s="1">
        <v>203</v>
      </c>
    </row>
    <row r="63" spans="1:13" ht="23.25" x14ac:dyDescent="0.35">
      <c r="A63" s="1" t="s">
        <v>13</v>
      </c>
      <c r="B63" s="1">
        <v>5</v>
      </c>
      <c r="C63" s="11" t="s">
        <v>136</v>
      </c>
      <c r="D63" s="2">
        <f>SUM(G63)/F63</f>
        <v>120</v>
      </c>
      <c r="E63" s="3">
        <f>SUM(200-D63)*0.8</f>
        <v>64</v>
      </c>
      <c r="F63" s="1">
        <f>3+3+3+3+3+3</f>
        <v>18</v>
      </c>
      <c r="G63" s="1">
        <f>362+342+349+377+385+345</f>
        <v>2160</v>
      </c>
      <c r="H63" s="3">
        <f>497+483+499+530+577+534</f>
        <v>3120</v>
      </c>
      <c r="I63" s="2">
        <f>SUM(H63)/F63</f>
        <v>173.33333333333334</v>
      </c>
      <c r="J63" s="1">
        <v>385</v>
      </c>
      <c r="K63" s="1">
        <v>577</v>
      </c>
      <c r="L63" s="1">
        <v>142</v>
      </c>
      <c r="M63" s="1">
        <v>206</v>
      </c>
    </row>
    <row r="64" spans="1:13" ht="23.2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8" ht="23.2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8" ht="23.25" x14ac:dyDescent="0.35">
      <c r="C66" s="4" t="s">
        <v>21</v>
      </c>
      <c r="F66" s="1">
        <f>3+3</f>
        <v>6</v>
      </c>
      <c r="G66" s="1">
        <f>330+321</f>
        <v>651</v>
      </c>
      <c r="H66" s="3">
        <f>522+513</f>
        <v>1035</v>
      </c>
      <c r="O66" s="144"/>
    </row>
    <row r="67" spans="1:18" ht="23.25" x14ac:dyDescent="0.35">
      <c r="C67" s="14"/>
      <c r="D67" s="8"/>
      <c r="E67" s="10"/>
      <c r="F67" s="17">
        <f>6</f>
        <v>6</v>
      </c>
      <c r="G67" s="17">
        <f>1137</f>
        <v>1137</v>
      </c>
      <c r="H67" s="18">
        <f>1146</f>
        <v>1146</v>
      </c>
      <c r="I67" s="8"/>
      <c r="J67" s="5"/>
      <c r="K67" s="5"/>
      <c r="L67" s="5"/>
      <c r="M67" s="5"/>
    </row>
    <row r="68" spans="1:18" ht="23.25" x14ac:dyDescent="0.35">
      <c r="C68" s="14" t="s">
        <v>22</v>
      </c>
      <c r="D68" s="8">
        <f>SUM(G68)/F68</f>
        <v>126.53571428571429</v>
      </c>
      <c r="E68" s="10"/>
      <c r="F68" s="5">
        <f>SUM(F59:F66)</f>
        <v>84</v>
      </c>
      <c r="G68" s="5">
        <f>SUM(G59:G66)</f>
        <v>10629</v>
      </c>
      <c r="H68" s="10">
        <f>SUM(H59:H66)</f>
        <v>15201</v>
      </c>
      <c r="I68" s="8">
        <f>SUM(H68)/F68</f>
        <v>180.96428571428572</v>
      </c>
    </row>
    <row r="69" spans="1:18" ht="23.25" x14ac:dyDescent="0.35">
      <c r="C69" s="14"/>
      <c r="D69" s="8"/>
      <c r="E69" s="10"/>
      <c r="F69" s="5"/>
      <c r="G69" s="5"/>
      <c r="H69" s="10"/>
      <c r="I69" s="8"/>
    </row>
    <row r="70" spans="1:18" ht="23.25" x14ac:dyDescent="0.35">
      <c r="B70" s="9"/>
      <c r="C70" s="14"/>
      <c r="D70" s="8"/>
      <c r="E70" s="10"/>
      <c r="F70" s="5"/>
      <c r="G70" s="5"/>
      <c r="H70" s="10"/>
      <c r="I70" s="8"/>
    </row>
    <row r="71" spans="1:18" ht="23.25" x14ac:dyDescent="0.35">
      <c r="C71" s="146" t="s">
        <v>44</v>
      </c>
      <c r="D71" s="8" t="s">
        <v>3</v>
      </c>
      <c r="E71" s="10" t="s">
        <v>4</v>
      </c>
      <c r="F71" s="5" t="s">
        <v>5</v>
      </c>
      <c r="G71" s="5" t="s">
        <v>6</v>
      </c>
      <c r="H71" s="10" t="s">
        <v>7</v>
      </c>
      <c r="I71" s="8" t="s">
        <v>8</v>
      </c>
      <c r="J71" s="5" t="s">
        <v>9</v>
      </c>
      <c r="K71" s="5" t="s">
        <v>10</v>
      </c>
      <c r="L71" s="5" t="s">
        <v>11</v>
      </c>
      <c r="M71" s="5" t="s">
        <v>12</v>
      </c>
      <c r="Q71" s="1"/>
    </row>
    <row r="72" spans="1:18" ht="23.25" x14ac:dyDescent="0.35">
      <c r="A72" s="1" t="s">
        <v>13</v>
      </c>
      <c r="B72" s="1">
        <v>1</v>
      </c>
      <c r="C72" s="4" t="s">
        <v>45</v>
      </c>
      <c r="D72" s="2">
        <f>SUM(G72)/F72</f>
        <v>128.25</v>
      </c>
      <c r="E72" s="3">
        <f>SUM(200-D72)*0.8</f>
        <v>57.400000000000006</v>
      </c>
      <c r="F72" s="1">
        <f>3+3+3+3</f>
        <v>12</v>
      </c>
      <c r="G72" s="1">
        <f>367+435+371+366</f>
        <v>1539</v>
      </c>
      <c r="H72" s="3">
        <f>478+549+485+534</f>
        <v>2046</v>
      </c>
      <c r="I72" s="2">
        <f>SUM(H72)/F72</f>
        <v>170.5</v>
      </c>
      <c r="J72" s="1">
        <v>435</v>
      </c>
      <c r="K72" s="1">
        <v>549</v>
      </c>
      <c r="L72" s="1">
        <v>171</v>
      </c>
      <c r="M72" s="1">
        <v>209</v>
      </c>
    </row>
    <row r="73" spans="1:18" ht="23.25" x14ac:dyDescent="0.35">
      <c r="A73" s="1" t="s">
        <v>15</v>
      </c>
      <c r="B73" s="1">
        <v>2</v>
      </c>
      <c r="C73" s="4" t="s">
        <v>46</v>
      </c>
      <c r="D73" s="2">
        <f>SUM(G73)/F73</f>
        <v>148.22222222222223</v>
      </c>
      <c r="E73" s="3">
        <f>SUM(200-D73)*0.8</f>
        <v>41.422222222222217</v>
      </c>
      <c r="F73" s="1">
        <f>3+3+3+3+3+3</f>
        <v>18</v>
      </c>
      <c r="G73" s="1">
        <f>411+467+463+425+429+473</f>
        <v>2668</v>
      </c>
      <c r="H73" s="3">
        <f>498+557+556+518+555+602</f>
        <v>3286</v>
      </c>
      <c r="I73" s="2">
        <f>SUM(H73)/F73</f>
        <v>182.55555555555554</v>
      </c>
      <c r="J73" s="1">
        <v>473</v>
      </c>
      <c r="K73" s="1">
        <v>602</v>
      </c>
      <c r="L73" s="1">
        <v>183</v>
      </c>
      <c r="M73" s="1">
        <v>219</v>
      </c>
      <c r="Q73" s="1"/>
    </row>
    <row r="74" spans="1:18" ht="23.25" customHeight="1" x14ac:dyDescent="0.35">
      <c r="A74" s="1" t="s">
        <v>15</v>
      </c>
      <c r="B74" s="1">
        <v>3</v>
      </c>
      <c r="C74" s="4" t="s">
        <v>48</v>
      </c>
      <c r="D74" s="2">
        <f>SUM(G74)/F74</f>
        <v>127.5</v>
      </c>
      <c r="E74" s="3">
        <f>SUM(200-D74)*0.8</f>
        <v>58</v>
      </c>
      <c r="F74" s="1">
        <f>3+3+3+3</f>
        <v>12</v>
      </c>
      <c r="G74" s="1">
        <f>388+361+376+405</f>
        <v>1530</v>
      </c>
      <c r="H74" s="3">
        <f>493+469+490+585</f>
        <v>2037</v>
      </c>
      <c r="I74" s="2">
        <f>SUM(H74)/F74</f>
        <v>169.75</v>
      </c>
      <c r="J74" s="1">
        <v>405</v>
      </c>
      <c r="K74" s="1">
        <v>585</v>
      </c>
      <c r="L74" s="1">
        <v>167</v>
      </c>
      <c r="M74" s="1">
        <v>227</v>
      </c>
    </row>
    <row r="75" spans="1:18" ht="23.25" customHeight="1" x14ac:dyDescent="0.35">
      <c r="A75" s="1" t="s">
        <v>15</v>
      </c>
      <c r="B75" s="129">
        <v>4</v>
      </c>
      <c r="C75" s="11" t="s">
        <v>108</v>
      </c>
      <c r="D75" s="2">
        <f>SUM(G75)/F75</f>
        <v>152.93333333333334</v>
      </c>
      <c r="E75" s="3">
        <f>SUM(200-D75)*0.8</f>
        <v>37.653333333333329</v>
      </c>
      <c r="F75" s="1">
        <f>3+3+3+3+3</f>
        <v>15</v>
      </c>
      <c r="G75" s="1">
        <f>473+445+393+522+461</f>
        <v>2294</v>
      </c>
      <c r="H75" s="3">
        <f>566+535+486+618+575</f>
        <v>2780</v>
      </c>
      <c r="I75" s="2">
        <f>SUM(H75)/F75</f>
        <v>185.33333333333334</v>
      </c>
      <c r="J75" s="1">
        <v>522</v>
      </c>
      <c r="K75" s="1">
        <v>618</v>
      </c>
      <c r="L75" s="1">
        <v>183</v>
      </c>
      <c r="M75" s="1">
        <v>215</v>
      </c>
    </row>
    <row r="76" spans="1:18" ht="23.25" x14ac:dyDescent="0.35">
      <c r="A76" s="4" t="s">
        <v>13</v>
      </c>
      <c r="B76" s="1">
        <v>5</v>
      </c>
      <c r="C76" s="4" t="s">
        <v>222</v>
      </c>
      <c r="D76" s="2">
        <f>SUM(G76)/F76</f>
        <v>158.27777777777777</v>
      </c>
      <c r="E76" s="154">
        <f>SUM(200-D76)*0.8</f>
        <v>33.377777777777787</v>
      </c>
      <c r="F76" s="1">
        <f>3+3+3+3+3+3</f>
        <v>18</v>
      </c>
      <c r="G76" s="1">
        <f>454+514+515+539+380+447</f>
        <v>2849</v>
      </c>
      <c r="H76" s="1">
        <f>571+631+608+623+455+543</f>
        <v>3431</v>
      </c>
      <c r="I76" s="147">
        <f>SUM(H76)/F76</f>
        <v>190.61111111111111</v>
      </c>
      <c r="J76" s="1">
        <v>539</v>
      </c>
      <c r="K76" s="1">
        <v>623</v>
      </c>
      <c r="L76" s="1">
        <v>212</v>
      </c>
      <c r="M76" s="1">
        <v>240</v>
      </c>
    </row>
    <row r="77" spans="1:18" ht="23.2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12">
        <f>51</f>
        <v>51</v>
      </c>
      <c r="Q77" s="12">
        <f>5413+3679</f>
        <v>9092</v>
      </c>
      <c r="R77" s="13">
        <f>5857+3961</f>
        <v>9818</v>
      </c>
    </row>
    <row r="78" spans="1:18" ht="23.2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8" ht="23.2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8" ht="23.25" x14ac:dyDescent="0.35">
      <c r="A80" s="4"/>
      <c r="C80" s="4" t="s">
        <v>21</v>
      </c>
      <c r="D80" s="2">
        <f>SUM(G80)/F80</f>
        <v>145.66666666666666</v>
      </c>
      <c r="F80" s="1">
        <f>3+3+3</f>
        <v>9</v>
      </c>
      <c r="G80" s="1">
        <f>456+426+429</f>
        <v>1311</v>
      </c>
      <c r="H80" s="3">
        <f>546+540+543</f>
        <v>1629</v>
      </c>
      <c r="I80" s="2">
        <f>SUM(H80)/F80</f>
        <v>181</v>
      </c>
      <c r="J80" s="4"/>
      <c r="K80" s="4"/>
      <c r="L80" s="4"/>
      <c r="M80" s="4"/>
    </row>
    <row r="81" spans="1:13" ht="23.25" x14ac:dyDescent="0.35">
      <c r="C81" s="14" t="s">
        <v>22</v>
      </c>
      <c r="D81" s="8">
        <f>SUM(G81)/F81</f>
        <v>145.13095238095238</v>
      </c>
      <c r="E81" s="10"/>
      <c r="F81" s="5">
        <f>SUM(F72:F80)</f>
        <v>84</v>
      </c>
      <c r="G81" s="5">
        <f>SUM(G72:G80)</f>
        <v>12191</v>
      </c>
      <c r="H81" s="10">
        <f>SUM(H72:H80)</f>
        <v>15209</v>
      </c>
      <c r="I81" s="8">
        <f>SUM(H81)/F81</f>
        <v>181.0595238095238</v>
      </c>
      <c r="J81" s="5"/>
      <c r="K81" s="5"/>
      <c r="L81" s="5"/>
      <c r="M81" s="5"/>
    </row>
    <row r="82" spans="1:13" ht="23.25" x14ac:dyDescent="0.35">
      <c r="C82" s="4"/>
    </row>
    <row r="83" spans="1:13" ht="23.25" x14ac:dyDescent="0.35">
      <c r="B83" s="9"/>
      <c r="C83" s="14"/>
      <c r="D83" s="8"/>
      <c r="E83" s="10"/>
      <c r="F83" s="5"/>
      <c r="G83" s="5"/>
      <c r="H83" s="10"/>
      <c r="I83" s="8"/>
    </row>
    <row r="84" spans="1:13" ht="23.25" x14ac:dyDescent="0.35">
      <c r="C84" s="146" t="s">
        <v>51</v>
      </c>
      <c r="D84" s="8" t="s">
        <v>3</v>
      </c>
      <c r="E84" s="10" t="s">
        <v>4</v>
      </c>
      <c r="F84" s="5" t="s">
        <v>5</v>
      </c>
      <c r="G84" s="5" t="s">
        <v>6</v>
      </c>
      <c r="H84" s="10" t="s">
        <v>7</v>
      </c>
      <c r="I84" s="8" t="s">
        <v>8</v>
      </c>
      <c r="J84" s="5" t="s">
        <v>9</v>
      </c>
      <c r="K84" s="5" t="s">
        <v>10</v>
      </c>
      <c r="L84" s="5" t="s">
        <v>11</v>
      </c>
      <c r="M84" s="5" t="s">
        <v>12</v>
      </c>
    </row>
    <row r="85" spans="1:13" ht="23.25" x14ac:dyDescent="0.35">
      <c r="A85" s="1" t="s">
        <v>15</v>
      </c>
      <c r="B85" s="1">
        <v>1</v>
      </c>
      <c r="C85" s="4" t="s">
        <v>52</v>
      </c>
      <c r="D85" s="2">
        <f t="shared" ref="D85:D91" si="10">SUM(G85)/F85</f>
        <v>165.44444444444446</v>
      </c>
      <c r="E85" s="3">
        <f t="shared" ref="E85:E90" si="11">SUM(200-D85)*0.8</f>
        <v>27.644444444444435</v>
      </c>
      <c r="F85" s="1">
        <f>3+3+3+3+3+3</f>
        <v>18</v>
      </c>
      <c r="G85" s="1">
        <f>528+498+480+564+485+423</f>
        <v>2978</v>
      </c>
      <c r="H85" s="3">
        <f>603+570+555+639+557+495</f>
        <v>3419</v>
      </c>
      <c r="I85" s="2">
        <f t="shared" ref="I85:I90" si="12">SUM(H85)/F85</f>
        <v>189.94444444444446</v>
      </c>
      <c r="J85" s="1">
        <v>564</v>
      </c>
      <c r="K85" s="1">
        <v>639</v>
      </c>
      <c r="L85" s="1">
        <v>225</v>
      </c>
      <c r="M85" s="1">
        <v>250</v>
      </c>
    </row>
    <row r="86" spans="1:13" ht="23.25" x14ac:dyDescent="0.35">
      <c r="A86" s="1" t="s">
        <v>15</v>
      </c>
      <c r="B86" s="1">
        <v>2</v>
      </c>
      <c r="C86" s="4" t="s">
        <v>53</v>
      </c>
      <c r="D86" s="2">
        <f t="shared" si="10"/>
        <v>141.66666666666666</v>
      </c>
      <c r="E86" s="3">
        <f t="shared" si="11"/>
        <v>46.666666666666679</v>
      </c>
      <c r="F86" s="1">
        <f>3+3+3+3</f>
        <v>12</v>
      </c>
      <c r="G86" s="1">
        <f>385+509+409+397</f>
        <v>1700</v>
      </c>
      <c r="H86" s="3">
        <f>505+632+532+529</f>
        <v>2198</v>
      </c>
      <c r="I86" s="2">
        <f t="shared" si="12"/>
        <v>183.16666666666666</v>
      </c>
      <c r="J86" s="1">
        <v>509</v>
      </c>
      <c r="K86" s="1">
        <v>632</v>
      </c>
      <c r="L86" s="1">
        <v>210</v>
      </c>
      <c r="M86" s="1">
        <v>251</v>
      </c>
    </row>
    <row r="87" spans="1:13" ht="23.25" x14ac:dyDescent="0.35">
      <c r="A87" s="1" t="s">
        <v>15</v>
      </c>
      <c r="B87" s="1">
        <v>3</v>
      </c>
      <c r="C87" s="4" t="s">
        <v>29</v>
      </c>
      <c r="D87" s="2">
        <f t="shared" si="10"/>
        <v>162.22222222222223</v>
      </c>
      <c r="E87" s="3">
        <f t="shared" si="11"/>
        <v>30.222222222222218</v>
      </c>
      <c r="F87" s="1">
        <f>3+3+3</f>
        <v>9</v>
      </c>
      <c r="G87" s="1">
        <f>489+489+482</f>
        <v>1460</v>
      </c>
      <c r="H87" s="3">
        <f>573+576+572</f>
        <v>1721</v>
      </c>
      <c r="I87" s="2">
        <f t="shared" si="12"/>
        <v>191.22222222222223</v>
      </c>
      <c r="J87" s="1">
        <v>489</v>
      </c>
      <c r="K87" s="1">
        <v>576</v>
      </c>
      <c r="L87" s="1">
        <v>191</v>
      </c>
      <c r="M87" s="1">
        <v>220</v>
      </c>
    </row>
    <row r="88" spans="1:13" ht="23.25" x14ac:dyDescent="0.35">
      <c r="A88" s="1" t="s">
        <v>15</v>
      </c>
      <c r="B88" s="1">
        <v>4</v>
      </c>
      <c r="C88" s="4" t="s">
        <v>54</v>
      </c>
      <c r="D88" s="2">
        <f>SUM(G88)/F88</f>
        <v>175.5</v>
      </c>
      <c r="E88" s="3">
        <f>SUM(200-D88)*0.8</f>
        <v>19.600000000000001</v>
      </c>
      <c r="F88" s="1">
        <f>3+3</f>
        <v>6</v>
      </c>
      <c r="G88" s="1">
        <f>488+565</f>
        <v>1053</v>
      </c>
      <c r="H88" s="3">
        <f>563+643</f>
        <v>1206</v>
      </c>
      <c r="I88" s="2">
        <f t="shared" si="12"/>
        <v>201</v>
      </c>
      <c r="J88" s="1">
        <v>565</v>
      </c>
      <c r="K88" s="1">
        <v>643</v>
      </c>
      <c r="L88" s="1">
        <v>211</v>
      </c>
      <c r="M88" s="1">
        <v>237</v>
      </c>
    </row>
    <row r="89" spans="1:13" ht="23.25" x14ac:dyDescent="0.35">
      <c r="A89" s="1" t="s">
        <v>15</v>
      </c>
      <c r="B89" s="1">
        <v>5</v>
      </c>
      <c r="C89" s="4" t="s">
        <v>55</v>
      </c>
      <c r="D89" s="2">
        <f t="shared" si="10"/>
        <v>165.72222222222223</v>
      </c>
      <c r="E89" s="3">
        <f t="shared" si="11"/>
        <v>27.422222222222217</v>
      </c>
      <c r="F89" s="1">
        <f>3+3+3+3+3+3</f>
        <v>18</v>
      </c>
      <c r="G89" s="1">
        <f>520+449+464+499+508+543</f>
        <v>2983</v>
      </c>
      <c r="H89" s="3">
        <f>601+530+545+583+601+633</f>
        <v>3493</v>
      </c>
      <c r="I89" s="2">
        <f t="shared" si="12"/>
        <v>194.05555555555554</v>
      </c>
      <c r="J89" s="1">
        <v>543</v>
      </c>
      <c r="K89" s="1">
        <v>633</v>
      </c>
      <c r="L89" s="1">
        <v>206</v>
      </c>
      <c r="M89" s="1">
        <v>236</v>
      </c>
    </row>
    <row r="90" spans="1:13" ht="23.25" x14ac:dyDescent="0.35">
      <c r="A90" s="1" t="s">
        <v>15</v>
      </c>
      <c r="B90" s="1">
        <v>6</v>
      </c>
      <c r="C90" s="4" t="s">
        <v>56</v>
      </c>
      <c r="D90" s="2">
        <f t="shared" si="10"/>
        <v>142.26666666666668</v>
      </c>
      <c r="E90" s="3">
        <f t="shared" si="11"/>
        <v>46.18666666666666</v>
      </c>
      <c r="F90" s="1">
        <f>3+3+3+3+3</f>
        <v>15</v>
      </c>
      <c r="G90" s="1">
        <f>474+421+397+441+401</f>
        <v>2134</v>
      </c>
      <c r="H90" s="3">
        <f>561+511+487+576+536</f>
        <v>2671</v>
      </c>
      <c r="I90" s="2">
        <f t="shared" si="12"/>
        <v>178.06666666666666</v>
      </c>
      <c r="J90" s="1">
        <v>474</v>
      </c>
      <c r="K90" s="1">
        <v>576</v>
      </c>
      <c r="L90" s="1">
        <v>177</v>
      </c>
      <c r="M90" s="1">
        <v>206</v>
      </c>
    </row>
    <row r="91" spans="1:13" ht="23.25" x14ac:dyDescent="0.35">
      <c r="C91" s="4" t="s">
        <v>57</v>
      </c>
      <c r="D91" s="2">
        <f t="shared" si="10"/>
        <v>156.33333333333334</v>
      </c>
      <c r="F91" s="1">
        <f>3+3</f>
        <v>6</v>
      </c>
      <c r="G91" s="1">
        <f>456+482</f>
        <v>938</v>
      </c>
      <c r="H91" s="3">
        <f>546+569</f>
        <v>1115</v>
      </c>
      <c r="I91" s="2">
        <f>SUM(H91)/F91</f>
        <v>185.83333333333334</v>
      </c>
    </row>
    <row r="92" spans="1:13" ht="23.25" x14ac:dyDescent="0.35">
      <c r="J92" s="5"/>
      <c r="K92" s="5"/>
      <c r="L92" s="5"/>
      <c r="M92" s="5"/>
    </row>
    <row r="93" spans="1:13" ht="23.25" x14ac:dyDescent="0.35">
      <c r="C93" s="14" t="s">
        <v>22</v>
      </c>
      <c r="D93" s="8">
        <f>SUM(G93)/F93</f>
        <v>157.6904761904762</v>
      </c>
      <c r="E93" s="10"/>
      <c r="F93" s="5">
        <f>SUM(F85:F91)</f>
        <v>84</v>
      </c>
      <c r="G93" s="5">
        <f>SUM(G85:G91)</f>
        <v>13246</v>
      </c>
      <c r="H93" s="10">
        <f>SUM(H85:H92)</f>
        <v>15823</v>
      </c>
      <c r="I93" s="8">
        <f>SUM(H93)/F93</f>
        <v>188.36904761904762</v>
      </c>
    </row>
    <row r="95" spans="1:13" ht="23.25" x14ac:dyDescent="0.35">
      <c r="C95" s="146" t="s">
        <v>58</v>
      </c>
      <c r="D95" s="8" t="s">
        <v>3</v>
      </c>
      <c r="E95" s="10" t="s">
        <v>4</v>
      </c>
      <c r="F95" s="5" t="s">
        <v>59</v>
      </c>
      <c r="G95" s="5" t="s">
        <v>60</v>
      </c>
      <c r="H95" s="10" t="s">
        <v>61</v>
      </c>
      <c r="I95" s="8" t="s">
        <v>8</v>
      </c>
      <c r="J95" s="5" t="s">
        <v>62</v>
      </c>
      <c r="K95" s="5" t="s">
        <v>63</v>
      </c>
      <c r="L95" s="5" t="s">
        <v>64</v>
      </c>
      <c r="M95" s="5" t="s">
        <v>65</v>
      </c>
    </row>
    <row r="96" spans="1:13" ht="23.25" x14ac:dyDescent="0.35">
      <c r="A96" s="1" t="s">
        <v>15</v>
      </c>
      <c r="B96" s="1">
        <v>1</v>
      </c>
      <c r="C96" s="1" t="s">
        <v>66</v>
      </c>
      <c r="D96" s="2">
        <f t="shared" ref="D96:D102" si="13">SUM(G96)/F96</f>
        <v>166.33333333333334</v>
      </c>
      <c r="E96" s="3">
        <f t="shared" ref="E96:E102" si="14">SUM(200-D96)*0.8</f>
        <v>26.933333333333326</v>
      </c>
      <c r="F96" s="1">
        <f>3+3+3+3</f>
        <v>12</v>
      </c>
      <c r="G96" s="1">
        <f>638+444+489+425</f>
        <v>1996</v>
      </c>
      <c r="H96" s="3">
        <f>722+522+570+485</f>
        <v>2299</v>
      </c>
      <c r="I96" s="2">
        <f>SUM(H96)/F96</f>
        <v>191.58333333333334</v>
      </c>
      <c r="J96" s="1">
        <v>638</v>
      </c>
      <c r="K96" s="1">
        <v>722</v>
      </c>
      <c r="L96" s="1">
        <v>224</v>
      </c>
      <c r="M96" s="1">
        <v>252</v>
      </c>
    </row>
    <row r="97" spans="1:13" ht="23.25" x14ac:dyDescent="0.35">
      <c r="A97" s="1" t="s">
        <v>13</v>
      </c>
      <c r="B97" s="1">
        <v>2</v>
      </c>
      <c r="C97" s="1" t="s">
        <v>67</v>
      </c>
      <c r="D97" s="2">
        <f t="shared" si="13"/>
        <v>138.5</v>
      </c>
      <c r="E97" s="3">
        <f t="shared" si="14"/>
        <v>49.2</v>
      </c>
      <c r="F97" s="1">
        <f>3+3</f>
        <v>6</v>
      </c>
      <c r="G97" s="1">
        <f>411+420</f>
        <v>831</v>
      </c>
      <c r="H97" s="3">
        <f>498+510</f>
        <v>1008</v>
      </c>
      <c r="I97" s="2">
        <f>SUM(H97)/F97</f>
        <v>168</v>
      </c>
      <c r="J97" s="1">
        <v>420</v>
      </c>
      <c r="K97" s="1">
        <v>510</v>
      </c>
      <c r="L97" s="1">
        <v>156</v>
      </c>
      <c r="M97" s="1">
        <v>185</v>
      </c>
    </row>
    <row r="98" spans="1:13" ht="23.25" x14ac:dyDescent="0.35">
      <c r="A98" s="1" t="s">
        <v>15</v>
      </c>
      <c r="B98" s="1">
        <v>3</v>
      </c>
      <c r="C98" s="1" t="s">
        <v>68</v>
      </c>
      <c r="D98" s="2">
        <f t="shared" si="13"/>
        <v>149.86666666666667</v>
      </c>
      <c r="E98" s="3">
        <f t="shared" si="14"/>
        <v>40.106666666666662</v>
      </c>
      <c r="F98" s="1">
        <f>3+3+3+3+3</f>
        <v>15</v>
      </c>
      <c r="G98" s="1">
        <f>425+427+495+480+421</f>
        <v>2248</v>
      </c>
      <c r="H98" s="3">
        <f>482+487+558+600+535</f>
        <v>2662</v>
      </c>
      <c r="I98" s="2">
        <v>188.66</v>
      </c>
      <c r="J98" s="1">
        <v>495</v>
      </c>
      <c r="K98" s="1">
        <v>600</v>
      </c>
      <c r="L98" s="1">
        <v>200</v>
      </c>
      <c r="M98" s="1">
        <v>221</v>
      </c>
    </row>
    <row r="99" spans="1:13" ht="23.25" x14ac:dyDescent="0.35">
      <c r="A99" s="1" t="s">
        <v>15</v>
      </c>
      <c r="B99" s="1">
        <v>4</v>
      </c>
      <c r="C99" s="1" t="s">
        <v>69</v>
      </c>
      <c r="D99" s="2">
        <f t="shared" si="13"/>
        <v>158.66666666666666</v>
      </c>
      <c r="E99" s="3">
        <f t="shared" si="14"/>
        <v>33.066666666666677</v>
      </c>
      <c r="F99" s="1">
        <f>3+3+3+3</f>
        <v>12</v>
      </c>
      <c r="G99" s="1">
        <f>455+507+488+454</f>
        <v>1904</v>
      </c>
      <c r="H99" s="3">
        <f>536+589+569+547</f>
        <v>2241</v>
      </c>
      <c r="I99" s="2">
        <v>193.33</v>
      </c>
      <c r="J99" s="1">
        <v>507</v>
      </c>
      <c r="K99" s="1">
        <v>589</v>
      </c>
      <c r="L99" s="1">
        <v>181</v>
      </c>
      <c r="M99" s="1">
        <v>212</v>
      </c>
    </row>
    <row r="100" spans="1:13" ht="23.25" x14ac:dyDescent="0.35">
      <c r="A100" s="1" t="s">
        <v>15</v>
      </c>
      <c r="B100" s="1">
        <v>5</v>
      </c>
      <c r="C100" s="1" t="s">
        <v>35</v>
      </c>
      <c r="D100" s="2">
        <f t="shared" si="13"/>
        <v>179.73333333333332</v>
      </c>
      <c r="E100" s="3">
        <f t="shared" si="14"/>
        <v>16.213333333333345</v>
      </c>
      <c r="F100" s="1">
        <f>3+3+3+3+3</f>
        <v>15</v>
      </c>
      <c r="G100" s="1">
        <f>573+521+590+449+563</f>
        <v>2696</v>
      </c>
      <c r="H100" s="3">
        <f>624+572+641+497+617</f>
        <v>2951</v>
      </c>
      <c r="I100" s="2">
        <f>SUM(H100)/F100</f>
        <v>196.73333333333332</v>
      </c>
      <c r="J100" s="1">
        <v>590</v>
      </c>
      <c r="K100" s="1">
        <v>641</v>
      </c>
      <c r="L100" s="1">
        <v>235</v>
      </c>
      <c r="M100" s="1">
        <v>252</v>
      </c>
    </row>
    <row r="101" spans="1:13" ht="23.25" x14ac:dyDescent="0.35">
      <c r="A101" s="1" t="s">
        <v>15</v>
      </c>
      <c r="B101" s="1">
        <v>6</v>
      </c>
      <c r="C101" s="1" t="s">
        <v>36</v>
      </c>
      <c r="D101" s="2">
        <f t="shared" si="13"/>
        <v>141.44444444444446</v>
      </c>
      <c r="E101" s="3">
        <f t="shared" si="14"/>
        <v>46.844444444444434</v>
      </c>
      <c r="F101" s="1">
        <f>3+3+3</f>
        <v>9</v>
      </c>
      <c r="G101" s="1">
        <f>389+440+444</f>
        <v>1273</v>
      </c>
      <c r="H101" s="3">
        <f>455+509+595</f>
        <v>1559</v>
      </c>
      <c r="I101" s="2">
        <f>SUM(H101)/F101</f>
        <v>173.22222222222223</v>
      </c>
      <c r="J101" s="1">
        <v>444</v>
      </c>
      <c r="K101" s="1">
        <v>595</v>
      </c>
      <c r="L101" s="1">
        <v>152</v>
      </c>
      <c r="M101" s="1">
        <v>202</v>
      </c>
    </row>
    <row r="102" spans="1:13" ht="23.25" x14ac:dyDescent="0.35">
      <c r="A102" s="1" t="s">
        <v>15</v>
      </c>
      <c r="B102" s="1">
        <v>7</v>
      </c>
      <c r="C102" s="1" t="s">
        <v>70</v>
      </c>
      <c r="D102" s="2">
        <f t="shared" si="13"/>
        <v>145.16666666666666</v>
      </c>
      <c r="E102" s="3">
        <f t="shared" si="14"/>
        <v>43.866666666666674</v>
      </c>
      <c r="F102" s="1">
        <f>3+3+3+3</f>
        <v>12</v>
      </c>
      <c r="G102" s="1">
        <f>465+459+428+390</f>
        <v>1742</v>
      </c>
      <c r="H102" s="3">
        <f>561+558+539+510</f>
        <v>2168</v>
      </c>
      <c r="I102" s="2">
        <f>SUM(H102)/F102</f>
        <v>180.66666666666666</v>
      </c>
      <c r="J102" s="1">
        <v>465</v>
      </c>
      <c r="K102" s="1">
        <v>561</v>
      </c>
      <c r="L102" s="1">
        <v>172</v>
      </c>
      <c r="M102" s="1">
        <v>204</v>
      </c>
    </row>
    <row r="103" spans="1:13" ht="23.25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13" ht="23.25" x14ac:dyDescent="0.35">
      <c r="A104" s="4"/>
      <c r="B104" s="4"/>
      <c r="C104" s="1" t="s">
        <v>57</v>
      </c>
      <c r="D104" s="2">
        <f>SUM(G104)/F104</f>
        <v>164</v>
      </c>
      <c r="F104" s="1">
        <f>3</f>
        <v>3</v>
      </c>
      <c r="G104" s="1">
        <f>492</f>
        <v>492</v>
      </c>
      <c r="H104" s="3">
        <f>555</f>
        <v>555</v>
      </c>
      <c r="I104" s="2">
        <f>SUM(H104)/F104</f>
        <v>185</v>
      </c>
    </row>
    <row r="106" spans="1:13" ht="23.25" x14ac:dyDescent="0.35">
      <c r="A106" s="4"/>
      <c r="B106" s="4"/>
      <c r="D106" s="1"/>
      <c r="L106" s="4"/>
      <c r="M106" s="4"/>
    </row>
    <row r="107" spans="1:13" ht="23.25" x14ac:dyDescent="0.35">
      <c r="A107" s="4"/>
      <c r="B107" s="4"/>
      <c r="C107" s="5" t="s">
        <v>71</v>
      </c>
      <c r="D107" s="4"/>
      <c r="E107" s="4"/>
      <c r="F107" s="156">
        <f>SUM(F96:F104)</f>
        <v>84</v>
      </c>
      <c r="G107" s="10">
        <f>SUM(G96:G104)</f>
        <v>13182</v>
      </c>
      <c r="H107" s="10">
        <f>SUM(H96:H104)</f>
        <v>15443</v>
      </c>
      <c r="I107" s="8">
        <f>SUM(H107)/F107</f>
        <v>183.8452380952381</v>
      </c>
      <c r="J107" s="10"/>
      <c r="K107" s="2"/>
      <c r="L107" s="4"/>
      <c r="M107" s="4"/>
    </row>
    <row r="108" spans="1:13" ht="23.25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23.25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23.25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23.25" x14ac:dyDescent="0.35">
      <c r="A111" s="4"/>
      <c r="B111" s="4"/>
      <c r="C111" s="146" t="s">
        <v>204</v>
      </c>
      <c r="D111" s="8" t="s">
        <v>3</v>
      </c>
      <c r="E111" s="10" t="s">
        <v>4</v>
      </c>
      <c r="F111" s="5" t="s">
        <v>5</v>
      </c>
      <c r="G111" s="5" t="s">
        <v>60</v>
      </c>
      <c r="H111" s="10" t="s">
        <v>61</v>
      </c>
      <c r="I111" s="8" t="s">
        <v>8</v>
      </c>
      <c r="J111" s="5" t="s">
        <v>62</v>
      </c>
      <c r="K111" s="5" t="s">
        <v>63</v>
      </c>
      <c r="L111" s="5" t="s">
        <v>64</v>
      </c>
      <c r="M111" s="5" t="s">
        <v>65</v>
      </c>
    </row>
    <row r="112" spans="1:13" ht="23.25" x14ac:dyDescent="0.35">
      <c r="A112" s="1" t="s">
        <v>15</v>
      </c>
      <c r="B112" s="1">
        <v>1</v>
      </c>
      <c r="C112" s="1" t="s">
        <v>72</v>
      </c>
      <c r="D112" s="2">
        <f t="shared" ref="D112:D117" si="15">SUM(G112)/F112</f>
        <v>185.88888888888889</v>
      </c>
      <c r="E112" s="3">
        <f t="shared" ref="E112:E117" si="16">SUM(200-D112)*0.8</f>
        <v>11.288888888888891</v>
      </c>
      <c r="F112" s="1">
        <f>3+3+3+3+3+3</f>
        <v>18</v>
      </c>
      <c r="G112" s="1">
        <f>525+611+514+595+584+517</f>
        <v>3346</v>
      </c>
      <c r="H112" s="3">
        <f>579+665+565+646+635+544</f>
        <v>3634</v>
      </c>
      <c r="I112" s="2">
        <v>193.66</v>
      </c>
      <c r="J112" s="1">
        <v>611</v>
      </c>
      <c r="K112" s="1">
        <v>665</v>
      </c>
      <c r="L112" s="1">
        <v>236</v>
      </c>
      <c r="M112" s="1">
        <v>254</v>
      </c>
    </row>
    <row r="113" spans="1:17" ht="23.25" x14ac:dyDescent="0.35">
      <c r="A113" s="1" t="s">
        <v>15</v>
      </c>
      <c r="B113" s="1">
        <v>2</v>
      </c>
      <c r="C113" s="1" t="s">
        <v>73</v>
      </c>
      <c r="D113" s="2">
        <f t="shared" si="15"/>
        <v>169.44444444444446</v>
      </c>
      <c r="E113" s="3">
        <f t="shared" si="16"/>
        <v>24.444444444444436</v>
      </c>
      <c r="F113" s="1">
        <f>3+3+3+3+3+3</f>
        <v>18</v>
      </c>
      <c r="G113" s="1">
        <f>498+447+472+499+601+533</f>
        <v>3050</v>
      </c>
      <c r="H113" s="3">
        <f>602+525+553+580+682+611</f>
        <v>3553</v>
      </c>
      <c r="I113" s="2">
        <f>SUM(H113)/F113</f>
        <v>197.38888888888889</v>
      </c>
      <c r="J113" s="1">
        <v>601</v>
      </c>
      <c r="K113" s="1">
        <v>682</v>
      </c>
      <c r="L113" s="1">
        <v>218</v>
      </c>
      <c r="M113" s="1">
        <v>245</v>
      </c>
    </row>
    <row r="114" spans="1:17" ht="23.25" x14ac:dyDescent="0.35">
      <c r="A114" s="1" t="s">
        <v>15</v>
      </c>
      <c r="B114" s="1">
        <v>3</v>
      </c>
      <c r="C114" s="1" t="s">
        <v>74</v>
      </c>
      <c r="D114" s="2">
        <f t="shared" si="15"/>
        <v>171.1904761904762</v>
      </c>
      <c r="E114" s="3">
        <f t="shared" si="16"/>
        <v>23.047619047619037</v>
      </c>
      <c r="F114" s="1">
        <f>3+3+3+3+3+3+3</f>
        <v>21</v>
      </c>
      <c r="G114" s="1">
        <f>485+530+536+529+517+487+511</f>
        <v>3595</v>
      </c>
      <c r="H114" s="3">
        <f>572+617+620+613+601+553+580</f>
        <v>4156</v>
      </c>
      <c r="I114" s="2">
        <f>SUM(H114)/F114</f>
        <v>197.9047619047619</v>
      </c>
      <c r="J114" s="1">
        <v>536</v>
      </c>
      <c r="K114" s="1">
        <v>620</v>
      </c>
      <c r="L114" s="1">
        <v>214</v>
      </c>
      <c r="M114" s="1">
        <v>242</v>
      </c>
    </row>
    <row r="115" spans="1:17" ht="23.25" x14ac:dyDescent="0.35">
      <c r="A115" s="1" t="s">
        <v>15</v>
      </c>
      <c r="B115" s="1">
        <v>4</v>
      </c>
      <c r="C115" s="1" t="s">
        <v>42</v>
      </c>
      <c r="D115" s="2">
        <f t="shared" si="15"/>
        <v>180.75</v>
      </c>
      <c r="E115" s="3">
        <f t="shared" si="16"/>
        <v>15.4</v>
      </c>
      <c r="F115" s="1">
        <f>3+3+3+3</f>
        <v>12</v>
      </c>
      <c r="G115" s="1">
        <f>499+616+519+535</f>
        <v>2169</v>
      </c>
      <c r="H115" s="3">
        <f>523+643+543+577</f>
        <v>2286</v>
      </c>
      <c r="I115" s="2">
        <f>SUM(H115)/F115</f>
        <v>190.5</v>
      </c>
      <c r="J115" s="1">
        <v>616</v>
      </c>
      <c r="K115" s="1">
        <v>643</v>
      </c>
      <c r="L115" s="1">
        <v>219</v>
      </c>
      <c r="M115" s="1">
        <v>228</v>
      </c>
    </row>
    <row r="116" spans="1:17" ht="23.25" x14ac:dyDescent="0.35">
      <c r="A116" s="1" t="s">
        <v>15</v>
      </c>
      <c r="B116" s="1">
        <v>5</v>
      </c>
      <c r="C116" s="1" t="s">
        <v>142</v>
      </c>
      <c r="D116" s="2">
        <f t="shared" si="15"/>
        <v>162.22222222222223</v>
      </c>
      <c r="E116" s="3">
        <f t="shared" si="16"/>
        <v>30.222222222222218</v>
      </c>
      <c r="F116" s="1">
        <f>3+3+3</f>
        <v>9</v>
      </c>
      <c r="G116" s="1">
        <f>418+542+500</f>
        <v>1460</v>
      </c>
      <c r="H116" s="3">
        <f>4479+505+635+596</f>
        <v>6215</v>
      </c>
      <c r="I116" s="2">
        <f>SUM(H116)/F116</f>
        <v>690.55555555555554</v>
      </c>
      <c r="J116" s="1">
        <v>542</v>
      </c>
      <c r="K116" s="1">
        <v>635</v>
      </c>
      <c r="L116" s="1">
        <v>210</v>
      </c>
      <c r="M116" s="1">
        <v>241</v>
      </c>
    </row>
    <row r="117" spans="1:17" ht="23.25" x14ac:dyDescent="0.35">
      <c r="A117" s="1" t="s">
        <v>13</v>
      </c>
      <c r="B117" s="1">
        <v>6</v>
      </c>
      <c r="C117" s="1" t="s">
        <v>140</v>
      </c>
      <c r="D117" s="2">
        <f t="shared" si="15"/>
        <v>178</v>
      </c>
      <c r="E117" s="3">
        <f t="shared" si="16"/>
        <v>17.600000000000001</v>
      </c>
      <c r="F117" s="1">
        <f>3</f>
        <v>3</v>
      </c>
      <c r="G117" s="1">
        <f>534</f>
        <v>534</v>
      </c>
      <c r="H117" s="3">
        <f>621</f>
        <v>621</v>
      </c>
      <c r="I117" s="2">
        <f>SUM(H117)/F117</f>
        <v>207</v>
      </c>
      <c r="J117" s="1">
        <v>534</v>
      </c>
      <c r="K117" s="1">
        <v>621</v>
      </c>
      <c r="L117" s="1">
        <v>204</v>
      </c>
      <c r="M117" s="1">
        <v>233</v>
      </c>
    </row>
    <row r="118" spans="1:17" ht="21" customHeight="1" x14ac:dyDescent="0.35">
      <c r="A118" s="1" t="s">
        <v>15</v>
      </c>
      <c r="B118" s="1">
        <v>7</v>
      </c>
      <c r="C118" s="1" t="s">
        <v>75</v>
      </c>
      <c r="D118" s="2">
        <f>SUM(G118)/F118</f>
        <v>164.33333333333334</v>
      </c>
      <c r="E118" s="3">
        <f>SUM(200-D118)*0.8</f>
        <v>28.533333333333328</v>
      </c>
      <c r="F118" s="1">
        <f>3</f>
        <v>3</v>
      </c>
      <c r="G118" s="1">
        <f>493</f>
        <v>493</v>
      </c>
      <c r="H118" s="3">
        <f>580</f>
        <v>580</v>
      </c>
      <c r="I118" s="2">
        <f>SUM(H118)/F118</f>
        <v>193.33333333333334</v>
      </c>
      <c r="J118" s="1">
        <v>493</v>
      </c>
      <c r="K118" s="1">
        <v>580</v>
      </c>
      <c r="L118" s="1">
        <v>180</v>
      </c>
      <c r="M118" s="1">
        <v>209</v>
      </c>
    </row>
    <row r="119" spans="1:17" ht="23.25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Q119" s="1"/>
    </row>
    <row r="120" spans="1:17" ht="23.2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7" ht="23.25" customHeight="1" x14ac:dyDescent="0.35">
      <c r="A121" s="4"/>
      <c r="B121" s="4"/>
      <c r="C121" s="1" t="s">
        <v>57</v>
      </c>
      <c r="D121" s="2" t="e">
        <f>SUM(G121)/F121</f>
        <v>#VALUE!</v>
      </c>
      <c r="F121" s="1" t="s">
        <v>230</v>
      </c>
      <c r="G121" s="1" t="s">
        <v>230</v>
      </c>
      <c r="H121" s="3" t="s">
        <v>230</v>
      </c>
      <c r="I121" s="2" t="e">
        <f>SUM(H121)/F121</f>
        <v>#VALUE!</v>
      </c>
      <c r="J121" s="4"/>
      <c r="K121" s="4"/>
      <c r="L121" s="4"/>
      <c r="M121" s="4"/>
    </row>
    <row r="122" spans="1:17" ht="23.25" customHeight="1" x14ac:dyDescent="0.35">
      <c r="A122" s="4"/>
      <c r="B122" s="4"/>
      <c r="C122" s="130" t="s">
        <v>71</v>
      </c>
      <c r="D122" s="131">
        <f ca="1">SUM(G122)/F122</f>
        <v>0.86714658320292126</v>
      </c>
      <c r="E122" s="132"/>
      <c r="F122" s="130">
        <f>SUM(F112:F121)</f>
        <v>84</v>
      </c>
      <c r="G122" s="130">
        <f ca="1">SUM(G112:G127)</f>
        <v>83116</v>
      </c>
      <c r="H122" s="132">
        <f ca="1">SUM(H112:H127)</f>
        <v>94404</v>
      </c>
      <c r="J122" s="4"/>
      <c r="K122" s="4"/>
      <c r="L122" s="4"/>
      <c r="M122" s="4"/>
    </row>
    <row r="123" spans="1:17" ht="23.25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7" ht="21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7" ht="23.25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7" ht="23.2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4"/>
  <sheetViews>
    <sheetView tabSelected="1" workbookViewId="0">
      <selection activeCell="K29" sqref="K29"/>
    </sheetView>
  </sheetViews>
  <sheetFormatPr baseColWidth="10" defaultRowHeight="15" x14ac:dyDescent="0.25"/>
  <cols>
    <col min="2" max="2" width="9.7109375" customWidth="1"/>
    <col min="3" max="3" width="26.85546875" customWidth="1"/>
    <col min="5" max="5" width="15.42578125" customWidth="1"/>
    <col min="6" max="6" width="17.7109375" customWidth="1"/>
    <col min="7" max="7" width="21.28515625" customWidth="1"/>
    <col min="8" max="8" width="19.85546875" customWidth="1"/>
  </cols>
  <sheetData>
    <row r="2" spans="2:16" ht="36.75" thickBot="1" x14ac:dyDescent="0.3">
      <c r="B2" s="161" t="s">
        <v>226</v>
      </c>
      <c r="C2" s="161"/>
      <c r="D2" s="161"/>
      <c r="E2" s="161"/>
      <c r="F2" s="161"/>
      <c r="G2" s="161"/>
      <c r="H2" s="161"/>
      <c r="I2" s="161"/>
    </row>
    <row r="3" spans="2:16" ht="22.5" thickTop="1" thickBot="1" x14ac:dyDescent="0.3">
      <c r="B3" s="162" t="s">
        <v>77</v>
      </c>
      <c r="C3" s="163"/>
      <c r="D3" s="163"/>
      <c r="E3" s="19">
        <v>7</v>
      </c>
      <c r="F3" s="20" t="s">
        <v>78</v>
      </c>
      <c r="G3" s="21" t="s">
        <v>79</v>
      </c>
      <c r="H3" s="22">
        <v>46309</v>
      </c>
      <c r="I3" s="23"/>
    </row>
    <row r="4" spans="2:16" ht="21.75" thickBot="1" x14ac:dyDescent="0.3">
      <c r="B4" s="24" t="s">
        <v>80</v>
      </c>
      <c r="C4" s="25" t="s">
        <v>81</v>
      </c>
      <c r="D4" s="25" t="s">
        <v>82</v>
      </c>
      <c r="E4" s="26" t="s">
        <v>83</v>
      </c>
      <c r="F4" s="26" t="s">
        <v>84</v>
      </c>
      <c r="G4" s="25" t="s">
        <v>85</v>
      </c>
      <c r="H4" s="25" t="s">
        <v>86</v>
      </c>
      <c r="I4" s="27" t="s">
        <v>5</v>
      </c>
    </row>
    <row r="5" spans="2:16" ht="21.75" thickBot="1" x14ac:dyDescent="0.3">
      <c r="B5" s="28">
        <v>1</v>
      </c>
      <c r="C5" s="29" t="s">
        <v>204</v>
      </c>
      <c r="D5" s="29">
        <f>7+10+10+8+11+5+8</f>
        <v>59</v>
      </c>
      <c r="E5" s="29">
        <f>2007+2006+2138+2142+2244+2073+2037</f>
        <v>14647</v>
      </c>
      <c r="F5" s="29">
        <f>2241+2312+2381+2382+2553+2295+2367</f>
        <v>16531</v>
      </c>
      <c r="G5" s="30">
        <f>F5/I5</f>
        <v>196.79761904761904</v>
      </c>
      <c r="H5" s="30">
        <f>E5/I5</f>
        <v>174.36904761904762</v>
      </c>
      <c r="I5" s="27">
        <f>SUM(E3)*12</f>
        <v>84</v>
      </c>
      <c r="M5" s="31"/>
      <c r="N5" s="32"/>
      <c r="O5" s="33"/>
      <c r="P5" s="33"/>
    </row>
    <row r="6" spans="2:16" ht="21.75" thickBot="1" x14ac:dyDescent="0.3">
      <c r="B6" s="28">
        <v>2</v>
      </c>
      <c r="C6" s="29" t="s">
        <v>30</v>
      </c>
      <c r="D6" s="29">
        <f>9+3+7+8+10+8+6</f>
        <v>51</v>
      </c>
      <c r="E6" s="29">
        <f>1957+1831+1889+2120+2019+1949+2018</f>
        <v>13783</v>
      </c>
      <c r="F6" s="29">
        <f>2230+2239+2213+2399+2328+2306+2303</f>
        <v>16018</v>
      </c>
      <c r="G6" s="30">
        <f>F6/I6</f>
        <v>190.6904761904762</v>
      </c>
      <c r="H6" s="30">
        <f>E6/I6</f>
        <v>164.08333333333334</v>
      </c>
      <c r="I6" s="27">
        <f t="shared" ref="I6:I14" si="0">SUM(I5)</f>
        <v>84</v>
      </c>
    </row>
    <row r="7" spans="2:16" ht="21.75" thickBot="1" x14ac:dyDescent="0.3">
      <c r="B7" s="28">
        <v>3</v>
      </c>
      <c r="C7" s="29" t="s">
        <v>207</v>
      </c>
      <c r="D7" s="29">
        <f>7+7+8+8+3+7+9</f>
        <v>49</v>
      </c>
      <c r="E7" s="29">
        <f>2280+2280+2280+2280+2280+2280+2280</f>
        <v>15960</v>
      </c>
      <c r="F7" s="29">
        <f>2280+2280+2280+2280+2280+2280+2280</f>
        <v>15960</v>
      </c>
      <c r="G7" s="30">
        <f>F7/I7</f>
        <v>190</v>
      </c>
      <c r="H7" s="30">
        <f>E7/I7</f>
        <v>190</v>
      </c>
      <c r="I7" s="27">
        <f t="shared" si="0"/>
        <v>84</v>
      </c>
    </row>
    <row r="8" spans="2:16" ht="21.75" thickBot="1" x14ac:dyDescent="0.3">
      <c r="B8" s="28">
        <v>4</v>
      </c>
      <c r="C8" s="29" t="s">
        <v>51</v>
      </c>
      <c r="D8" s="29">
        <f>7+6+5+6+10+7+4</f>
        <v>45</v>
      </c>
      <c r="E8" s="29">
        <f>1979+2004+1711+1973+1975+1840+1754</f>
        <v>13236</v>
      </c>
      <c r="F8" s="29">
        <f>2300+2325+2077+2306+2341+2281+2183</f>
        <v>15813</v>
      </c>
      <c r="G8" s="30">
        <f>F8/I8</f>
        <v>188.25</v>
      </c>
      <c r="H8" s="30">
        <f>E8/I8</f>
        <v>157.57142857142858</v>
      </c>
      <c r="I8" s="27">
        <f t="shared" si="0"/>
        <v>84</v>
      </c>
    </row>
    <row r="9" spans="2:16" ht="21.75" thickBot="1" x14ac:dyDescent="0.3">
      <c r="B9" s="34">
        <v>5</v>
      </c>
      <c r="C9" s="29" t="s">
        <v>144</v>
      </c>
      <c r="D9" s="29">
        <f>8+8+4+5+2+5+11</f>
        <v>43</v>
      </c>
      <c r="E9" s="29">
        <f>1765+2252+1694+2222+1701+1815+2156</f>
        <v>13605</v>
      </c>
      <c r="F9" s="29">
        <f>2200+2306+2112+2276+2133+2295+2447</f>
        <v>15769</v>
      </c>
      <c r="G9" s="30">
        <f>F9/I9</f>
        <v>187.72619047619048</v>
      </c>
      <c r="H9" s="30">
        <f>E9/I9</f>
        <v>161.96428571428572</v>
      </c>
      <c r="I9" s="27">
        <f t="shared" si="0"/>
        <v>84</v>
      </c>
    </row>
    <row r="10" spans="2:16" ht="21.75" thickBot="1" x14ac:dyDescent="0.3">
      <c r="B10" s="28">
        <v>6</v>
      </c>
      <c r="C10" s="29" t="s">
        <v>88</v>
      </c>
      <c r="D10" s="29">
        <f>7+5+6+3+1+7+8</f>
        <v>37</v>
      </c>
      <c r="E10" s="29">
        <f>2101+1945+1928+1862+1632+1924+2053</f>
        <v>13445</v>
      </c>
      <c r="F10" s="29">
        <f>2404+2230+2167+2183+1914+2215+2380</f>
        <v>15493</v>
      </c>
      <c r="G10" s="30">
        <f>F10/I10</f>
        <v>184.4404761904762</v>
      </c>
      <c r="H10" s="30">
        <f>E10/I10</f>
        <v>160.0595238095238</v>
      </c>
      <c r="I10" s="27">
        <f t="shared" si="0"/>
        <v>84</v>
      </c>
    </row>
    <row r="11" spans="2:16" ht="21.75" thickBot="1" x14ac:dyDescent="0.3">
      <c r="B11" s="28">
        <v>7</v>
      </c>
      <c r="C11" s="29" t="s">
        <v>58</v>
      </c>
      <c r="D11" s="29">
        <f>5+2+4+9+6+7+2</f>
        <v>35</v>
      </c>
      <c r="E11" s="29">
        <f>1939+1837+1851+2029+1921+1806+1799</f>
        <v>13182</v>
      </c>
      <c r="F11" s="29">
        <f>2263+2125+2139+2293+2194+2280+2147</f>
        <v>15441</v>
      </c>
      <c r="G11" s="30">
        <f>F11/I11</f>
        <v>183.82142857142858</v>
      </c>
      <c r="H11" s="30">
        <f>E11/I11</f>
        <v>156.92857142857142</v>
      </c>
      <c r="I11" s="27">
        <f t="shared" si="0"/>
        <v>84</v>
      </c>
    </row>
    <row r="12" spans="2:16" ht="21.75" thickBot="1" x14ac:dyDescent="0.3">
      <c r="B12" s="28">
        <v>8</v>
      </c>
      <c r="C12" s="29" t="s">
        <v>206</v>
      </c>
      <c r="D12" s="29">
        <f>4+8+3+6+4+5+3</f>
        <v>33</v>
      </c>
      <c r="E12" s="29">
        <f>1522+1553+1303+1517+1514+1565+1511</f>
        <v>10485</v>
      </c>
      <c r="F12" s="29">
        <f>2162+2177+1933+2156+2159+2252+2201</f>
        <v>15040</v>
      </c>
      <c r="G12" s="30">
        <f>F12/I12</f>
        <v>179.04761904761904</v>
      </c>
      <c r="H12" s="30">
        <f>E12/I12</f>
        <v>124.82142857142857</v>
      </c>
      <c r="I12" s="27">
        <f t="shared" si="0"/>
        <v>84</v>
      </c>
    </row>
    <row r="13" spans="2:16" ht="21.75" thickBot="1" x14ac:dyDescent="0.3">
      <c r="B13" s="28">
        <v>9</v>
      </c>
      <c r="C13" s="29" t="s">
        <v>23</v>
      </c>
      <c r="D13" s="29">
        <f>1+6+2+3+7+4+9</f>
        <v>32</v>
      </c>
      <c r="E13" s="29">
        <f>1582+2006+1808+1901+1959+1673+1878</f>
        <v>12807</v>
      </c>
      <c r="F13" s="29">
        <f>1987+2309+2111+2210+2271+2183+2403</f>
        <v>15474</v>
      </c>
      <c r="G13" s="30">
        <f>F13/I13</f>
        <v>184.21428571428572</v>
      </c>
      <c r="H13" s="30">
        <f>E13/I13</f>
        <v>152.46428571428572</v>
      </c>
      <c r="I13" s="27">
        <f t="shared" si="0"/>
        <v>84</v>
      </c>
    </row>
    <row r="14" spans="2:16" ht="21.75" thickBot="1" x14ac:dyDescent="0.3">
      <c r="B14" s="28">
        <v>10</v>
      </c>
      <c r="C14" s="29" t="s">
        <v>87</v>
      </c>
      <c r="D14" s="29">
        <f>1+7+4+4+5+4+5</f>
        <v>30</v>
      </c>
      <c r="E14" s="29">
        <f>1639+1812+1793+1695+1862+1643+1747</f>
        <v>12191</v>
      </c>
      <c r="F14" s="29">
        <f>2035+2223+2207+2103+2249+2138+2254</f>
        <v>15209</v>
      </c>
      <c r="G14" s="30">
        <f>F14/I14</f>
        <v>181.0595238095238</v>
      </c>
      <c r="H14" s="30">
        <f>E14/I14</f>
        <v>145.13095238095238</v>
      </c>
      <c r="I14" s="27">
        <f t="shared" si="0"/>
        <v>84</v>
      </c>
    </row>
    <row r="15" spans="2:16" ht="21.75" thickBot="1" x14ac:dyDescent="0.3">
      <c r="B15" s="28"/>
      <c r="C15" s="25" t="s">
        <v>89</v>
      </c>
      <c r="D15" s="29"/>
      <c r="E15" s="26">
        <f>SUM(E3:E14)</f>
        <v>133348</v>
      </c>
      <c r="F15" s="26">
        <f>SUM(F3:F14)</f>
        <v>156748</v>
      </c>
      <c r="G15" s="30" t="e">
        <f>F16/I16</f>
        <v>#DIV/0!</v>
      </c>
      <c r="H15" s="30" t="e">
        <f t="shared" ref="H5:H15" si="1">E15/I15</f>
        <v>#DIV/0!</v>
      </c>
      <c r="I15" s="27"/>
    </row>
    <row r="16" spans="2:16" ht="21.75" thickBot="1" x14ac:dyDescent="0.3">
      <c r="B16" s="28"/>
      <c r="C16" s="29"/>
      <c r="D16" s="29"/>
      <c r="E16" s="29"/>
      <c r="F16" s="29"/>
      <c r="G16" s="30"/>
      <c r="H16" s="30"/>
      <c r="I16" s="27"/>
    </row>
    <row r="17" spans="2:17" ht="21.75" thickBot="1" x14ac:dyDescent="0.3">
      <c r="B17" s="35"/>
      <c r="C17" s="37"/>
      <c r="D17" s="37"/>
      <c r="E17" s="37"/>
      <c r="F17" s="37"/>
      <c r="G17" s="30"/>
      <c r="H17" s="30"/>
      <c r="I17" s="39">
        <f>SUM(I5:I16)</f>
        <v>840</v>
      </c>
    </row>
    <row r="18" spans="2:17" ht="22.5" thickTop="1" thickBot="1" x14ac:dyDescent="0.3">
      <c r="B18" s="40"/>
      <c r="C18" s="40"/>
      <c r="D18" s="40"/>
      <c r="E18" s="40"/>
      <c r="F18" s="41"/>
      <c r="G18" s="42"/>
      <c r="H18" s="42"/>
      <c r="I18" s="43"/>
    </row>
    <row r="19" spans="2:17" ht="22.5" thickTop="1" thickBot="1" x14ac:dyDescent="0.3">
      <c r="B19" s="162" t="s">
        <v>90</v>
      </c>
      <c r="C19" s="163"/>
      <c r="D19" s="163"/>
      <c r="E19" s="44">
        <f>SUM(E3)</f>
        <v>7</v>
      </c>
      <c r="F19" s="20" t="s">
        <v>78</v>
      </c>
      <c r="G19" s="21" t="s">
        <v>79</v>
      </c>
      <c r="H19" s="22">
        <f>SUM(H3)</f>
        <v>46309</v>
      </c>
      <c r="I19" s="23"/>
    </row>
    <row r="20" spans="2:17" ht="21.75" thickBot="1" x14ac:dyDescent="0.3">
      <c r="B20" s="24" t="s">
        <v>80</v>
      </c>
      <c r="C20" s="25" t="s">
        <v>81</v>
      </c>
      <c r="D20" s="25" t="s">
        <v>82</v>
      </c>
      <c r="E20" s="26" t="s">
        <v>83</v>
      </c>
      <c r="F20" s="26" t="s">
        <v>84</v>
      </c>
      <c r="G20" s="25" t="s">
        <v>85</v>
      </c>
      <c r="H20" s="25" t="s">
        <v>86</v>
      </c>
      <c r="I20" s="27" t="s">
        <v>5</v>
      </c>
    </row>
    <row r="21" spans="2:17" ht="21.75" thickBot="1" x14ac:dyDescent="0.3">
      <c r="B21" s="28">
        <v>1</v>
      </c>
      <c r="C21" s="29" t="s">
        <v>144</v>
      </c>
      <c r="D21" s="29">
        <v>11</v>
      </c>
      <c r="E21" s="29">
        <v>2156</v>
      </c>
      <c r="F21" s="29">
        <v>2447</v>
      </c>
      <c r="G21" s="30">
        <f>F21/I21</f>
        <v>203.91666666666666</v>
      </c>
      <c r="H21" s="30">
        <f>E21/I21</f>
        <v>179.66666666666666</v>
      </c>
      <c r="I21" s="27">
        <v>12</v>
      </c>
    </row>
    <row r="22" spans="2:17" ht="21.75" thickBot="1" x14ac:dyDescent="0.3">
      <c r="B22" s="28">
        <v>2</v>
      </c>
      <c r="C22" s="29" t="s">
        <v>23</v>
      </c>
      <c r="D22" s="29">
        <v>9</v>
      </c>
      <c r="E22" s="29">
        <v>1878</v>
      </c>
      <c r="F22" s="29">
        <v>2403</v>
      </c>
      <c r="G22" s="30">
        <f>F22/I22</f>
        <v>200.25</v>
      </c>
      <c r="H22" s="30">
        <f>E22/I22</f>
        <v>156.5</v>
      </c>
      <c r="I22" s="27">
        <v>12</v>
      </c>
    </row>
    <row r="23" spans="2:17" ht="21.75" thickBot="1" x14ac:dyDescent="0.3">
      <c r="B23" s="28">
        <v>3</v>
      </c>
      <c r="C23" s="29" t="s">
        <v>207</v>
      </c>
      <c r="D23" s="29">
        <v>9</v>
      </c>
      <c r="E23" s="29">
        <v>2280</v>
      </c>
      <c r="F23" s="29">
        <v>2280</v>
      </c>
      <c r="G23" s="30">
        <f>F23/I23</f>
        <v>190</v>
      </c>
      <c r="H23" s="30">
        <f>E23/I23</f>
        <v>190</v>
      </c>
      <c r="I23" s="27">
        <v>12</v>
      </c>
    </row>
    <row r="24" spans="2:17" ht="21.75" thickBot="1" x14ac:dyDescent="0.3">
      <c r="B24" s="28">
        <v>4</v>
      </c>
      <c r="C24" s="29" t="s">
        <v>88</v>
      </c>
      <c r="D24" s="29">
        <v>8</v>
      </c>
      <c r="E24" s="29">
        <v>2053</v>
      </c>
      <c r="F24" s="29">
        <v>2380</v>
      </c>
      <c r="G24" s="30">
        <f>F24/I24</f>
        <v>198.33333333333334</v>
      </c>
      <c r="H24" s="30">
        <f>E24/I24</f>
        <v>171.08333333333334</v>
      </c>
      <c r="I24" s="27">
        <v>12</v>
      </c>
      <c r="K24" s="40"/>
      <c r="L24" s="45"/>
      <c r="M24" s="46"/>
      <c r="N24" s="41"/>
      <c r="O24" s="41"/>
      <c r="P24" s="47"/>
      <c r="Q24" s="47"/>
    </row>
    <row r="25" spans="2:17" ht="21.75" thickBot="1" x14ac:dyDescent="0.3">
      <c r="B25" s="28">
        <v>5</v>
      </c>
      <c r="C25" s="29" t="s">
        <v>204</v>
      </c>
      <c r="D25" s="29">
        <v>8</v>
      </c>
      <c r="E25" s="29">
        <v>2037</v>
      </c>
      <c r="F25" s="29">
        <v>2367</v>
      </c>
      <c r="G25" s="30">
        <f>F25/I25</f>
        <v>197.25</v>
      </c>
      <c r="H25" s="30">
        <f>E25/I25</f>
        <v>169.75</v>
      </c>
      <c r="I25" s="27">
        <v>12</v>
      </c>
      <c r="K25" s="40"/>
      <c r="L25" s="45"/>
      <c r="M25" s="46"/>
      <c r="N25" s="41"/>
      <c r="O25" s="41"/>
      <c r="P25" s="47"/>
      <c r="Q25" s="47"/>
    </row>
    <row r="26" spans="2:17" ht="21.75" thickBot="1" x14ac:dyDescent="0.3">
      <c r="B26" s="28">
        <v>6</v>
      </c>
      <c r="C26" s="29" t="s">
        <v>30</v>
      </c>
      <c r="D26" s="29">
        <v>6</v>
      </c>
      <c r="E26" s="29">
        <v>2018</v>
      </c>
      <c r="F26" s="29">
        <v>2303</v>
      </c>
      <c r="G26" s="30">
        <f>F26/I26</f>
        <v>191.91666666666666</v>
      </c>
      <c r="H26" s="30">
        <f>E26/I26</f>
        <v>168.16666666666666</v>
      </c>
      <c r="I26" s="27">
        <v>12</v>
      </c>
      <c r="K26" s="40"/>
      <c r="L26" s="45"/>
      <c r="M26" s="46"/>
      <c r="N26" s="41"/>
      <c r="O26" s="41"/>
      <c r="P26" s="47"/>
      <c r="Q26" s="47"/>
    </row>
    <row r="27" spans="2:17" ht="21.75" thickBot="1" x14ac:dyDescent="0.3">
      <c r="B27" s="28">
        <v>7</v>
      </c>
      <c r="C27" s="29" t="s">
        <v>91</v>
      </c>
      <c r="D27" s="29">
        <v>5</v>
      </c>
      <c r="E27" s="29">
        <v>1747</v>
      </c>
      <c r="F27" s="29">
        <v>2254</v>
      </c>
      <c r="G27" s="30">
        <f>F27/I27</f>
        <v>187.83333333333334</v>
      </c>
      <c r="H27" s="30">
        <f>E27/I27</f>
        <v>145.58333333333334</v>
      </c>
      <c r="I27" s="27">
        <v>12</v>
      </c>
      <c r="K27" s="40"/>
      <c r="L27" s="45"/>
      <c r="M27" s="46"/>
      <c r="N27" s="41"/>
      <c r="O27" s="41"/>
      <c r="P27" s="47"/>
      <c r="Q27" s="47"/>
    </row>
    <row r="28" spans="2:17" ht="21.75" thickBot="1" x14ac:dyDescent="0.3">
      <c r="B28" s="28">
        <v>8</v>
      </c>
      <c r="C28" s="29" t="s">
        <v>51</v>
      </c>
      <c r="D28" s="29">
        <v>4</v>
      </c>
      <c r="E28" s="29">
        <v>1754</v>
      </c>
      <c r="F28" s="29">
        <v>2183</v>
      </c>
      <c r="G28" s="30">
        <f>F28/I28</f>
        <v>181.91666666666666</v>
      </c>
      <c r="H28" s="30">
        <f>E28/I28</f>
        <v>146.16666666666666</v>
      </c>
      <c r="I28" s="27">
        <v>12</v>
      </c>
      <c r="K28" s="40"/>
      <c r="L28" s="45"/>
      <c r="M28" s="46"/>
      <c r="N28" s="41"/>
      <c r="O28" s="41"/>
      <c r="P28" s="47"/>
      <c r="Q28" s="47"/>
    </row>
    <row r="29" spans="2:17" ht="21.75" thickBot="1" x14ac:dyDescent="0.3">
      <c r="B29" s="28">
        <v>9</v>
      </c>
      <c r="C29" s="29" t="s">
        <v>206</v>
      </c>
      <c r="D29" s="29">
        <v>3</v>
      </c>
      <c r="E29" s="29">
        <v>1511</v>
      </c>
      <c r="F29" s="29">
        <v>2201</v>
      </c>
      <c r="G29" s="30">
        <f>F29/I29</f>
        <v>183.41666666666666</v>
      </c>
      <c r="H29" s="30">
        <f>E29/I29</f>
        <v>125.91666666666667</v>
      </c>
      <c r="I29" s="27">
        <v>12</v>
      </c>
    </row>
    <row r="30" spans="2:17" ht="21.75" thickBot="1" x14ac:dyDescent="0.3">
      <c r="B30" s="34">
        <v>10</v>
      </c>
      <c r="C30" s="29" t="s">
        <v>58</v>
      </c>
      <c r="D30" s="29">
        <v>2</v>
      </c>
      <c r="E30" s="29">
        <v>1799</v>
      </c>
      <c r="F30" s="29">
        <v>2147</v>
      </c>
      <c r="G30" s="30">
        <f>F30/I30</f>
        <v>178.91666666666666</v>
      </c>
      <c r="H30" s="30">
        <f>E30/I30</f>
        <v>149.91666666666666</v>
      </c>
      <c r="I30" s="27">
        <v>12</v>
      </c>
    </row>
    <row r="31" spans="2:17" ht="21.75" thickBot="1" x14ac:dyDescent="0.3">
      <c r="B31" s="28"/>
      <c r="C31" s="29"/>
      <c r="D31" s="29"/>
      <c r="E31" s="29"/>
      <c r="F31" s="29"/>
      <c r="G31" s="30"/>
      <c r="H31" s="30"/>
      <c r="I31" s="27"/>
    </row>
    <row r="32" spans="2:17" ht="21.75" thickBot="1" x14ac:dyDescent="0.3">
      <c r="B32" s="28"/>
      <c r="C32" s="29"/>
      <c r="D32" s="29"/>
      <c r="E32" s="29"/>
      <c r="F32" s="29"/>
      <c r="G32" s="30"/>
      <c r="H32" s="30"/>
      <c r="I32" s="27"/>
    </row>
    <row r="33" spans="2:9" ht="21.75" thickBot="1" x14ac:dyDescent="0.3">
      <c r="B33" s="35"/>
      <c r="C33" s="36" t="s">
        <v>89</v>
      </c>
      <c r="D33" s="37"/>
      <c r="E33" s="38">
        <f>SUM(E21:E32)</f>
        <v>19233</v>
      </c>
      <c r="F33" s="38">
        <f>SUM(F21:F32)</f>
        <v>22965</v>
      </c>
      <c r="G33" s="30">
        <f>F33/I33</f>
        <v>191.375</v>
      </c>
      <c r="H33" s="30">
        <f>E33/I33</f>
        <v>160.27500000000001</v>
      </c>
      <c r="I33" s="39">
        <f>SUM(I21:I32)</f>
        <v>120</v>
      </c>
    </row>
    <row r="34" spans="2:9" ht="15.75" thickTop="1" x14ac:dyDescent="0.25">
      <c r="B34" s="48"/>
      <c r="C34" s="48"/>
      <c r="D34" s="48"/>
      <c r="E34" s="48"/>
      <c r="F34" s="49"/>
      <c r="G34" s="48"/>
      <c r="H34" s="48"/>
      <c r="I34" s="50"/>
    </row>
  </sheetData>
  <sortState ref="C21:H30">
    <sortCondition descending="1" ref="D21:D30"/>
    <sortCondition descending="1" ref="F21:F30"/>
  </sortState>
  <mergeCells count="3">
    <mergeCell ref="B2:I2"/>
    <mergeCell ref="B3:D3"/>
    <mergeCell ref="B19:D19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0"/>
  <sheetViews>
    <sheetView workbookViewId="0">
      <selection activeCell="F9" sqref="F9"/>
    </sheetView>
  </sheetViews>
  <sheetFormatPr baseColWidth="10" defaultRowHeight="18.75" x14ac:dyDescent="0.25"/>
  <cols>
    <col min="1" max="1" width="2.28515625" style="51" customWidth="1"/>
    <col min="2" max="2" width="10.28515625" style="51" customWidth="1"/>
    <col min="3" max="3" width="20" style="51" customWidth="1"/>
    <col min="4" max="4" width="6.42578125" style="100" customWidth="1"/>
    <col min="5" max="5" width="7.42578125" style="100" customWidth="1"/>
    <col min="6" max="6" width="6.42578125" style="101" customWidth="1"/>
    <col min="7" max="7" width="4" style="51" customWidth="1"/>
    <col min="8" max="10" width="12.140625" style="51" customWidth="1"/>
    <col min="11" max="11" width="15.28515625" style="51" customWidth="1"/>
    <col min="12" max="12" width="15.28515625" style="105" customWidth="1"/>
    <col min="13" max="13" width="20" style="51" customWidth="1"/>
    <col min="14" max="14" width="6.42578125" style="101" customWidth="1"/>
    <col min="15" max="15" width="7.42578125" style="101" customWidth="1"/>
    <col min="16" max="16" width="6.28515625" style="101" customWidth="1"/>
    <col min="17" max="17" width="4" style="51" customWidth="1"/>
    <col min="18" max="20" width="12.140625" style="51" customWidth="1"/>
    <col min="21" max="22" width="15.28515625" style="51" customWidth="1"/>
    <col min="23" max="24" width="11.42578125" style="51"/>
    <col min="25" max="25" width="6.85546875" style="51" customWidth="1"/>
    <col min="26" max="257" width="11.42578125" style="51"/>
    <col min="258" max="258" width="10.140625" style="51" customWidth="1"/>
    <col min="259" max="259" width="20" style="51" customWidth="1"/>
    <col min="260" max="260" width="2.85546875" style="51" customWidth="1"/>
    <col min="261" max="262" width="4.5703125" style="51" customWidth="1"/>
    <col min="263" max="263" width="5.5703125" style="51" customWidth="1"/>
    <col min="264" max="266" width="11" style="51" customWidth="1"/>
    <col min="267" max="267" width="15.28515625" style="51" customWidth="1"/>
    <col min="268" max="268" width="1" style="51" customWidth="1"/>
    <col min="269" max="269" width="20" style="51" customWidth="1"/>
    <col min="270" max="270" width="2.85546875" style="51" customWidth="1"/>
    <col min="271" max="271" width="5.5703125" style="51" customWidth="1"/>
    <col min="272" max="272" width="4.5703125" style="51" customWidth="1"/>
    <col min="273" max="273" width="5.5703125" style="51" customWidth="1"/>
    <col min="274" max="275" width="11" style="51" customWidth="1"/>
    <col min="276" max="276" width="11.28515625" style="51" customWidth="1"/>
    <col min="277" max="277" width="15.28515625" style="51" customWidth="1"/>
    <col min="278" max="278" width="0.42578125" style="51" customWidth="1"/>
    <col min="279" max="280" width="11.42578125" style="51"/>
    <col min="281" max="281" width="6.85546875" style="51" customWidth="1"/>
    <col min="282" max="513" width="11.42578125" style="51"/>
    <col min="514" max="514" width="10.140625" style="51" customWidth="1"/>
    <col min="515" max="515" width="20" style="51" customWidth="1"/>
    <col min="516" max="516" width="2.85546875" style="51" customWidth="1"/>
    <col min="517" max="518" width="4.5703125" style="51" customWidth="1"/>
    <col min="519" max="519" width="5.5703125" style="51" customWidth="1"/>
    <col min="520" max="522" width="11" style="51" customWidth="1"/>
    <col min="523" max="523" width="15.28515625" style="51" customWidth="1"/>
    <col min="524" max="524" width="1" style="51" customWidth="1"/>
    <col min="525" max="525" width="20" style="51" customWidth="1"/>
    <col min="526" max="526" width="2.85546875" style="51" customWidth="1"/>
    <col min="527" max="527" width="5.5703125" style="51" customWidth="1"/>
    <col min="528" max="528" width="4.5703125" style="51" customWidth="1"/>
    <col min="529" max="529" width="5.5703125" style="51" customWidth="1"/>
    <col min="530" max="531" width="11" style="51" customWidth="1"/>
    <col min="532" max="532" width="11.28515625" style="51" customWidth="1"/>
    <col min="533" max="533" width="15.28515625" style="51" customWidth="1"/>
    <col min="534" max="534" width="0.42578125" style="51" customWidth="1"/>
    <col min="535" max="536" width="11.42578125" style="51"/>
    <col min="537" max="537" width="6.85546875" style="51" customWidth="1"/>
    <col min="538" max="769" width="11.42578125" style="51"/>
    <col min="770" max="770" width="10.140625" style="51" customWidth="1"/>
    <col min="771" max="771" width="20" style="51" customWidth="1"/>
    <col min="772" max="772" width="2.85546875" style="51" customWidth="1"/>
    <col min="773" max="774" width="4.5703125" style="51" customWidth="1"/>
    <col min="775" max="775" width="5.5703125" style="51" customWidth="1"/>
    <col min="776" max="778" width="11" style="51" customWidth="1"/>
    <col min="779" max="779" width="15.28515625" style="51" customWidth="1"/>
    <col min="780" max="780" width="1" style="51" customWidth="1"/>
    <col min="781" max="781" width="20" style="51" customWidth="1"/>
    <col min="782" max="782" width="2.85546875" style="51" customWidth="1"/>
    <col min="783" max="783" width="5.5703125" style="51" customWidth="1"/>
    <col min="784" max="784" width="4.5703125" style="51" customWidth="1"/>
    <col min="785" max="785" width="5.5703125" style="51" customWidth="1"/>
    <col min="786" max="787" width="11" style="51" customWidth="1"/>
    <col min="788" max="788" width="11.28515625" style="51" customWidth="1"/>
    <col min="789" max="789" width="15.28515625" style="51" customWidth="1"/>
    <col min="790" max="790" width="0.42578125" style="51" customWidth="1"/>
    <col min="791" max="792" width="11.42578125" style="51"/>
    <col min="793" max="793" width="6.85546875" style="51" customWidth="1"/>
    <col min="794" max="1025" width="11.42578125" style="51"/>
    <col min="1026" max="1026" width="10.140625" style="51" customWidth="1"/>
    <col min="1027" max="1027" width="20" style="51" customWidth="1"/>
    <col min="1028" max="1028" width="2.85546875" style="51" customWidth="1"/>
    <col min="1029" max="1030" width="4.5703125" style="51" customWidth="1"/>
    <col min="1031" max="1031" width="5.5703125" style="51" customWidth="1"/>
    <col min="1032" max="1034" width="11" style="51" customWidth="1"/>
    <col min="1035" max="1035" width="15.28515625" style="51" customWidth="1"/>
    <col min="1036" max="1036" width="1" style="51" customWidth="1"/>
    <col min="1037" max="1037" width="20" style="51" customWidth="1"/>
    <col min="1038" max="1038" width="2.85546875" style="51" customWidth="1"/>
    <col min="1039" max="1039" width="5.5703125" style="51" customWidth="1"/>
    <col min="1040" max="1040" width="4.5703125" style="51" customWidth="1"/>
    <col min="1041" max="1041" width="5.5703125" style="51" customWidth="1"/>
    <col min="1042" max="1043" width="11" style="51" customWidth="1"/>
    <col min="1044" max="1044" width="11.28515625" style="51" customWidth="1"/>
    <col min="1045" max="1045" width="15.28515625" style="51" customWidth="1"/>
    <col min="1046" max="1046" width="0.42578125" style="51" customWidth="1"/>
    <col min="1047" max="1048" width="11.42578125" style="51"/>
    <col min="1049" max="1049" width="6.85546875" style="51" customWidth="1"/>
    <col min="1050" max="1281" width="11.42578125" style="51"/>
    <col min="1282" max="1282" width="10.140625" style="51" customWidth="1"/>
    <col min="1283" max="1283" width="20" style="51" customWidth="1"/>
    <col min="1284" max="1284" width="2.85546875" style="51" customWidth="1"/>
    <col min="1285" max="1286" width="4.5703125" style="51" customWidth="1"/>
    <col min="1287" max="1287" width="5.5703125" style="51" customWidth="1"/>
    <col min="1288" max="1290" width="11" style="51" customWidth="1"/>
    <col min="1291" max="1291" width="15.28515625" style="51" customWidth="1"/>
    <col min="1292" max="1292" width="1" style="51" customWidth="1"/>
    <col min="1293" max="1293" width="20" style="51" customWidth="1"/>
    <col min="1294" max="1294" width="2.85546875" style="51" customWidth="1"/>
    <col min="1295" max="1295" width="5.5703125" style="51" customWidth="1"/>
    <col min="1296" max="1296" width="4.5703125" style="51" customWidth="1"/>
    <col min="1297" max="1297" width="5.5703125" style="51" customWidth="1"/>
    <col min="1298" max="1299" width="11" style="51" customWidth="1"/>
    <col min="1300" max="1300" width="11.28515625" style="51" customWidth="1"/>
    <col min="1301" max="1301" width="15.28515625" style="51" customWidth="1"/>
    <col min="1302" max="1302" width="0.42578125" style="51" customWidth="1"/>
    <col min="1303" max="1304" width="11.42578125" style="51"/>
    <col min="1305" max="1305" width="6.85546875" style="51" customWidth="1"/>
    <col min="1306" max="1537" width="11.42578125" style="51"/>
    <col min="1538" max="1538" width="10.140625" style="51" customWidth="1"/>
    <col min="1539" max="1539" width="20" style="51" customWidth="1"/>
    <col min="1540" max="1540" width="2.85546875" style="51" customWidth="1"/>
    <col min="1541" max="1542" width="4.5703125" style="51" customWidth="1"/>
    <col min="1543" max="1543" width="5.5703125" style="51" customWidth="1"/>
    <col min="1544" max="1546" width="11" style="51" customWidth="1"/>
    <col min="1547" max="1547" width="15.28515625" style="51" customWidth="1"/>
    <col min="1548" max="1548" width="1" style="51" customWidth="1"/>
    <col min="1549" max="1549" width="20" style="51" customWidth="1"/>
    <col min="1550" max="1550" width="2.85546875" style="51" customWidth="1"/>
    <col min="1551" max="1551" width="5.5703125" style="51" customWidth="1"/>
    <col min="1552" max="1552" width="4.5703125" style="51" customWidth="1"/>
    <col min="1553" max="1553" width="5.5703125" style="51" customWidth="1"/>
    <col min="1554" max="1555" width="11" style="51" customWidth="1"/>
    <col min="1556" max="1556" width="11.28515625" style="51" customWidth="1"/>
    <col min="1557" max="1557" width="15.28515625" style="51" customWidth="1"/>
    <col min="1558" max="1558" width="0.42578125" style="51" customWidth="1"/>
    <col min="1559" max="1560" width="11.42578125" style="51"/>
    <col min="1561" max="1561" width="6.85546875" style="51" customWidth="1"/>
    <col min="1562" max="1793" width="11.42578125" style="51"/>
    <col min="1794" max="1794" width="10.140625" style="51" customWidth="1"/>
    <col min="1795" max="1795" width="20" style="51" customWidth="1"/>
    <col min="1796" max="1796" width="2.85546875" style="51" customWidth="1"/>
    <col min="1797" max="1798" width="4.5703125" style="51" customWidth="1"/>
    <col min="1799" max="1799" width="5.5703125" style="51" customWidth="1"/>
    <col min="1800" max="1802" width="11" style="51" customWidth="1"/>
    <col min="1803" max="1803" width="15.28515625" style="51" customWidth="1"/>
    <col min="1804" max="1804" width="1" style="51" customWidth="1"/>
    <col min="1805" max="1805" width="20" style="51" customWidth="1"/>
    <col min="1806" max="1806" width="2.85546875" style="51" customWidth="1"/>
    <col min="1807" max="1807" width="5.5703125" style="51" customWidth="1"/>
    <col min="1808" max="1808" width="4.5703125" style="51" customWidth="1"/>
    <col min="1809" max="1809" width="5.5703125" style="51" customWidth="1"/>
    <col min="1810" max="1811" width="11" style="51" customWidth="1"/>
    <col min="1812" max="1812" width="11.28515625" style="51" customWidth="1"/>
    <col min="1813" max="1813" width="15.28515625" style="51" customWidth="1"/>
    <col min="1814" max="1814" width="0.42578125" style="51" customWidth="1"/>
    <col min="1815" max="1816" width="11.42578125" style="51"/>
    <col min="1817" max="1817" width="6.85546875" style="51" customWidth="1"/>
    <col min="1818" max="2049" width="11.42578125" style="51"/>
    <col min="2050" max="2050" width="10.140625" style="51" customWidth="1"/>
    <col min="2051" max="2051" width="20" style="51" customWidth="1"/>
    <col min="2052" max="2052" width="2.85546875" style="51" customWidth="1"/>
    <col min="2053" max="2054" width="4.5703125" style="51" customWidth="1"/>
    <col min="2055" max="2055" width="5.5703125" style="51" customWidth="1"/>
    <col min="2056" max="2058" width="11" style="51" customWidth="1"/>
    <col min="2059" max="2059" width="15.28515625" style="51" customWidth="1"/>
    <col min="2060" max="2060" width="1" style="51" customWidth="1"/>
    <col min="2061" max="2061" width="20" style="51" customWidth="1"/>
    <col min="2062" max="2062" width="2.85546875" style="51" customWidth="1"/>
    <col min="2063" max="2063" width="5.5703125" style="51" customWidth="1"/>
    <col min="2064" max="2064" width="4.5703125" style="51" customWidth="1"/>
    <col min="2065" max="2065" width="5.5703125" style="51" customWidth="1"/>
    <col min="2066" max="2067" width="11" style="51" customWidth="1"/>
    <col min="2068" max="2068" width="11.28515625" style="51" customWidth="1"/>
    <col min="2069" max="2069" width="15.28515625" style="51" customWidth="1"/>
    <col min="2070" max="2070" width="0.42578125" style="51" customWidth="1"/>
    <col min="2071" max="2072" width="11.42578125" style="51"/>
    <col min="2073" max="2073" width="6.85546875" style="51" customWidth="1"/>
    <col min="2074" max="2305" width="11.42578125" style="51"/>
    <col min="2306" max="2306" width="10.140625" style="51" customWidth="1"/>
    <col min="2307" max="2307" width="20" style="51" customWidth="1"/>
    <col min="2308" max="2308" width="2.85546875" style="51" customWidth="1"/>
    <col min="2309" max="2310" width="4.5703125" style="51" customWidth="1"/>
    <col min="2311" max="2311" width="5.5703125" style="51" customWidth="1"/>
    <col min="2312" max="2314" width="11" style="51" customWidth="1"/>
    <col min="2315" max="2315" width="15.28515625" style="51" customWidth="1"/>
    <col min="2316" max="2316" width="1" style="51" customWidth="1"/>
    <col min="2317" max="2317" width="20" style="51" customWidth="1"/>
    <col min="2318" max="2318" width="2.85546875" style="51" customWidth="1"/>
    <col min="2319" max="2319" width="5.5703125" style="51" customWidth="1"/>
    <col min="2320" max="2320" width="4.5703125" style="51" customWidth="1"/>
    <col min="2321" max="2321" width="5.5703125" style="51" customWidth="1"/>
    <col min="2322" max="2323" width="11" style="51" customWidth="1"/>
    <col min="2324" max="2324" width="11.28515625" style="51" customWidth="1"/>
    <col min="2325" max="2325" width="15.28515625" style="51" customWidth="1"/>
    <col min="2326" max="2326" width="0.42578125" style="51" customWidth="1"/>
    <col min="2327" max="2328" width="11.42578125" style="51"/>
    <col min="2329" max="2329" width="6.85546875" style="51" customWidth="1"/>
    <col min="2330" max="2561" width="11.42578125" style="51"/>
    <col min="2562" max="2562" width="10.140625" style="51" customWidth="1"/>
    <col min="2563" max="2563" width="20" style="51" customWidth="1"/>
    <col min="2564" max="2564" width="2.85546875" style="51" customWidth="1"/>
    <col min="2565" max="2566" width="4.5703125" style="51" customWidth="1"/>
    <col min="2567" max="2567" width="5.5703125" style="51" customWidth="1"/>
    <col min="2568" max="2570" width="11" style="51" customWidth="1"/>
    <col min="2571" max="2571" width="15.28515625" style="51" customWidth="1"/>
    <col min="2572" max="2572" width="1" style="51" customWidth="1"/>
    <col min="2573" max="2573" width="20" style="51" customWidth="1"/>
    <col min="2574" max="2574" width="2.85546875" style="51" customWidth="1"/>
    <col min="2575" max="2575" width="5.5703125" style="51" customWidth="1"/>
    <col min="2576" max="2576" width="4.5703125" style="51" customWidth="1"/>
    <col min="2577" max="2577" width="5.5703125" style="51" customWidth="1"/>
    <col min="2578" max="2579" width="11" style="51" customWidth="1"/>
    <col min="2580" max="2580" width="11.28515625" style="51" customWidth="1"/>
    <col min="2581" max="2581" width="15.28515625" style="51" customWidth="1"/>
    <col min="2582" max="2582" width="0.42578125" style="51" customWidth="1"/>
    <col min="2583" max="2584" width="11.42578125" style="51"/>
    <col min="2585" max="2585" width="6.85546875" style="51" customWidth="1"/>
    <col min="2586" max="2817" width="11.42578125" style="51"/>
    <col min="2818" max="2818" width="10.140625" style="51" customWidth="1"/>
    <col min="2819" max="2819" width="20" style="51" customWidth="1"/>
    <col min="2820" max="2820" width="2.85546875" style="51" customWidth="1"/>
    <col min="2821" max="2822" width="4.5703125" style="51" customWidth="1"/>
    <col min="2823" max="2823" width="5.5703125" style="51" customWidth="1"/>
    <col min="2824" max="2826" width="11" style="51" customWidth="1"/>
    <col min="2827" max="2827" width="15.28515625" style="51" customWidth="1"/>
    <col min="2828" max="2828" width="1" style="51" customWidth="1"/>
    <col min="2829" max="2829" width="20" style="51" customWidth="1"/>
    <col min="2830" max="2830" width="2.85546875" style="51" customWidth="1"/>
    <col min="2831" max="2831" width="5.5703125" style="51" customWidth="1"/>
    <col min="2832" max="2832" width="4.5703125" style="51" customWidth="1"/>
    <col min="2833" max="2833" width="5.5703125" style="51" customWidth="1"/>
    <col min="2834" max="2835" width="11" style="51" customWidth="1"/>
    <col min="2836" max="2836" width="11.28515625" style="51" customWidth="1"/>
    <col min="2837" max="2837" width="15.28515625" style="51" customWidth="1"/>
    <col min="2838" max="2838" width="0.42578125" style="51" customWidth="1"/>
    <col min="2839" max="2840" width="11.42578125" style="51"/>
    <col min="2841" max="2841" width="6.85546875" style="51" customWidth="1"/>
    <col min="2842" max="3073" width="11.42578125" style="51"/>
    <col min="3074" max="3074" width="10.140625" style="51" customWidth="1"/>
    <col min="3075" max="3075" width="20" style="51" customWidth="1"/>
    <col min="3076" max="3076" width="2.85546875" style="51" customWidth="1"/>
    <col min="3077" max="3078" width="4.5703125" style="51" customWidth="1"/>
    <col min="3079" max="3079" width="5.5703125" style="51" customWidth="1"/>
    <col min="3080" max="3082" width="11" style="51" customWidth="1"/>
    <col min="3083" max="3083" width="15.28515625" style="51" customWidth="1"/>
    <col min="3084" max="3084" width="1" style="51" customWidth="1"/>
    <col min="3085" max="3085" width="20" style="51" customWidth="1"/>
    <col min="3086" max="3086" width="2.85546875" style="51" customWidth="1"/>
    <col min="3087" max="3087" width="5.5703125" style="51" customWidth="1"/>
    <col min="3088" max="3088" width="4.5703125" style="51" customWidth="1"/>
    <col min="3089" max="3089" width="5.5703125" style="51" customWidth="1"/>
    <col min="3090" max="3091" width="11" style="51" customWidth="1"/>
    <col min="3092" max="3092" width="11.28515625" style="51" customWidth="1"/>
    <col min="3093" max="3093" width="15.28515625" style="51" customWidth="1"/>
    <col min="3094" max="3094" width="0.42578125" style="51" customWidth="1"/>
    <col min="3095" max="3096" width="11.42578125" style="51"/>
    <col min="3097" max="3097" width="6.85546875" style="51" customWidth="1"/>
    <col min="3098" max="3329" width="11.42578125" style="51"/>
    <col min="3330" max="3330" width="10.140625" style="51" customWidth="1"/>
    <col min="3331" max="3331" width="20" style="51" customWidth="1"/>
    <col min="3332" max="3332" width="2.85546875" style="51" customWidth="1"/>
    <col min="3333" max="3334" width="4.5703125" style="51" customWidth="1"/>
    <col min="3335" max="3335" width="5.5703125" style="51" customWidth="1"/>
    <col min="3336" max="3338" width="11" style="51" customWidth="1"/>
    <col min="3339" max="3339" width="15.28515625" style="51" customWidth="1"/>
    <col min="3340" max="3340" width="1" style="51" customWidth="1"/>
    <col min="3341" max="3341" width="20" style="51" customWidth="1"/>
    <col min="3342" max="3342" width="2.85546875" style="51" customWidth="1"/>
    <col min="3343" max="3343" width="5.5703125" style="51" customWidth="1"/>
    <col min="3344" max="3344" width="4.5703125" style="51" customWidth="1"/>
    <col min="3345" max="3345" width="5.5703125" style="51" customWidth="1"/>
    <col min="3346" max="3347" width="11" style="51" customWidth="1"/>
    <col min="3348" max="3348" width="11.28515625" style="51" customWidth="1"/>
    <col min="3349" max="3349" width="15.28515625" style="51" customWidth="1"/>
    <col min="3350" max="3350" width="0.42578125" style="51" customWidth="1"/>
    <col min="3351" max="3352" width="11.42578125" style="51"/>
    <col min="3353" max="3353" width="6.85546875" style="51" customWidth="1"/>
    <col min="3354" max="3585" width="11.42578125" style="51"/>
    <col min="3586" max="3586" width="10.140625" style="51" customWidth="1"/>
    <col min="3587" max="3587" width="20" style="51" customWidth="1"/>
    <col min="3588" max="3588" width="2.85546875" style="51" customWidth="1"/>
    <col min="3589" max="3590" width="4.5703125" style="51" customWidth="1"/>
    <col min="3591" max="3591" width="5.5703125" style="51" customWidth="1"/>
    <col min="3592" max="3594" width="11" style="51" customWidth="1"/>
    <col min="3595" max="3595" width="15.28515625" style="51" customWidth="1"/>
    <col min="3596" max="3596" width="1" style="51" customWidth="1"/>
    <col min="3597" max="3597" width="20" style="51" customWidth="1"/>
    <col min="3598" max="3598" width="2.85546875" style="51" customWidth="1"/>
    <col min="3599" max="3599" width="5.5703125" style="51" customWidth="1"/>
    <col min="3600" max="3600" width="4.5703125" style="51" customWidth="1"/>
    <col min="3601" max="3601" width="5.5703125" style="51" customWidth="1"/>
    <col min="3602" max="3603" width="11" style="51" customWidth="1"/>
    <col min="3604" max="3604" width="11.28515625" style="51" customWidth="1"/>
    <col min="3605" max="3605" width="15.28515625" style="51" customWidth="1"/>
    <col min="3606" max="3606" width="0.42578125" style="51" customWidth="1"/>
    <col min="3607" max="3608" width="11.42578125" style="51"/>
    <col min="3609" max="3609" width="6.85546875" style="51" customWidth="1"/>
    <col min="3610" max="3841" width="11.42578125" style="51"/>
    <col min="3842" max="3842" width="10.140625" style="51" customWidth="1"/>
    <col min="3843" max="3843" width="20" style="51" customWidth="1"/>
    <col min="3844" max="3844" width="2.85546875" style="51" customWidth="1"/>
    <col min="3845" max="3846" width="4.5703125" style="51" customWidth="1"/>
    <col min="3847" max="3847" width="5.5703125" style="51" customWidth="1"/>
    <col min="3848" max="3850" width="11" style="51" customWidth="1"/>
    <col min="3851" max="3851" width="15.28515625" style="51" customWidth="1"/>
    <col min="3852" max="3852" width="1" style="51" customWidth="1"/>
    <col min="3853" max="3853" width="20" style="51" customWidth="1"/>
    <col min="3854" max="3854" width="2.85546875" style="51" customWidth="1"/>
    <col min="3855" max="3855" width="5.5703125" style="51" customWidth="1"/>
    <col min="3856" max="3856" width="4.5703125" style="51" customWidth="1"/>
    <col min="3857" max="3857" width="5.5703125" style="51" customWidth="1"/>
    <col min="3858" max="3859" width="11" style="51" customWidth="1"/>
    <col min="3860" max="3860" width="11.28515625" style="51" customWidth="1"/>
    <col min="3861" max="3861" width="15.28515625" style="51" customWidth="1"/>
    <col min="3862" max="3862" width="0.42578125" style="51" customWidth="1"/>
    <col min="3863" max="3864" width="11.42578125" style="51"/>
    <col min="3865" max="3865" width="6.85546875" style="51" customWidth="1"/>
    <col min="3866" max="4097" width="11.42578125" style="51"/>
    <col min="4098" max="4098" width="10.140625" style="51" customWidth="1"/>
    <col min="4099" max="4099" width="20" style="51" customWidth="1"/>
    <col min="4100" max="4100" width="2.85546875" style="51" customWidth="1"/>
    <col min="4101" max="4102" width="4.5703125" style="51" customWidth="1"/>
    <col min="4103" max="4103" width="5.5703125" style="51" customWidth="1"/>
    <col min="4104" max="4106" width="11" style="51" customWidth="1"/>
    <col min="4107" max="4107" width="15.28515625" style="51" customWidth="1"/>
    <col min="4108" max="4108" width="1" style="51" customWidth="1"/>
    <col min="4109" max="4109" width="20" style="51" customWidth="1"/>
    <col min="4110" max="4110" width="2.85546875" style="51" customWidth="1"/>
    <col min="4111" max="4111" width="5.5703125" style="51" customWidth="1"/>
    <col min="4112" max="4112" width="4.5703125" style="51" customWidth="1"/>
    <col min="4113" max="4113" width="5.5703125" style="51" customWidth="1"/>
    <col min="4114" max="4115" width="11" style="51" customWidth="1"/>
    <col min="4116" max="4116" width="11.28515625" style="51" customWidth="1"/>
    <col min="4117" max="4117" width="15.28515625" style="51" customWidth="1"/>
    <col min="4118" max="4118" width="0.42578125" style="51" customWidth="1"/>
    <col min="4119" max="4120" width="11.42578125" style="51"/>
    <col min="4121" max="4121" width="6.85546875" style="51" customWidth="1"/>
    <col min="4122" max="4353" width="11.42578125" style="51"/>
    <col min="4354" max="4354" width="10.140625" style="51" customWidth="1"/>
    <col min="4355" max="4355" width="20" style="51" customWidth="1"/>
    <col min="4356" max="4356" width="2.85546875" style="51" customWidth="1"/>
    <col min="4357" max="4358" width="4.5703125" style="51" customWidth="1"/>
    <col min="4359" max="4359" width="5.5703125" style="51" customWidth="1"/>
    <col min="4360" max="4362" width="11" style="51" customWidth="1"/>
    <col min="4363" max="4363" width="15.28515625" style="51" customWidth="1"/>
    <col min="4364" max="4364" width="1" style="51" customWidth="1"/>
    <col min="4365" max="4365" width="20" style="51" customWidth="1"/>
    <col min="4366" max="4366" width="2.85546875" style="51" customWidth="1"/>
    <col min="4367" max="4367" width="5.5703125" style="51" customWidth="1"/>
    <col min="4368" max="4368" width="4.5703125" style="51" customWidth="1"/>
    <col min="4369" max="4369" width="5.5703125" style="51" customWidth="1"/>
    <col min="4370" max="4371" width="11" style="51" customWidth="1"/>
    <col min="4372" max="4372" width="11.28515625" style="51" customWidth="1"/>
    <col min="4373" max="4373" width="15.28515625" style="51" customWidth="1"/>
    <col min="4374" max="4374" width="0.42578125" style="51" customWidth="1"/>
    <col min="4375" max="4376" width="11.42578125" style="51"/>
    <col min="4377" max="4377" width="6.85546875" style="51" customWidth="1"/>
    <col min="4378" max="4609" width="11.42578125" style="51"/>
    <col min="4610" max="4610" width="10.140625" style="51" customWidth="1"/>
    <col min="4611" max="4611" width="20" style="51" customWidth="1"/>
    <col min="4612" max="4612" width="2.85546875" style="51" customWidth="1"/>
    <col min="4613" max="4614" width="4.5703125" style="51" customWidth="1"/>
    <col min="4615" max="4615" width="5.5703125" style="51" customWidth="1"/>
    <col min="4616" max="4618" width="11" style="51" customWidth="1"/>
    <col min="4619" max="4619" width="15.28515625" style="51" customWidth="1"/>
    <col min="4620" max="4620" width="1" style="51" customWidth="1"/>
    <col min="4621" max="4621" width="20" style="51" customWidth="1"/>
    <col min="4622" max="4622" width="2.85546875" style="51" customWidth="1"/>
    <col min="4623" max="4623" width="5.5703125" style="51" customWidth="1"/>
    <col min="4624" max="4624" width="4.5703125" style="51" customWidth="1"/>
    <col min="4625" max="4625" width="5.5703125" style="51" customWidth="1"/>
    <col min="4626" max="4627" width="11" style="51" customWidth="1"/>
    <col min="4628" max="4628" width="11.28515625" style="51" customWidth="1"/>
    <col min="4629" max="4629" width="15.28515625" style="51" customWidth="1"/>
    <col min="4630" max="4630" width="0.42578125" style="51" customWidth="1"/>
    <col min="4631" max="4632" width="11.42578125" style="51"/>
    <col min="4633" max="4633" width="6.85546875" style="51" customWidth="1"/>
    <col min="4634" max="4865" width="11.42578125" style="51"/>
    <col min="4866" max="4866" width="10.140625" style="51" customWidth="1"/>
    <col min="4867" max="4867" width="20" style="51" customWidth="1"/>
    <col min="4868" max="4868" width="2.85546875" style="51" customWidth="1"/>
    <col min="4869" max="4870" width="4.5703125" style="51" customWidth="1"/>
    <col min="4871" max="4871" width="5.5703125" style="51" customWidth="1"/>
    <col min="4872" max="4874" width="11" style="51" customWidth="1"/>
    <col min="4875" max="4875" width="15.28515625" style="51" customWidth="1"/>
    <col min="4876" max="4876" width="1" style="51" customWidth="1"/>
    <col min="4877" max="4877" width="20" style="51" customWidth="1"/>
    <col min="4878" max="4878" width="2.85546875" style="51" customWidth="1"/>
    <col min="4879" max="4879" width="5.5703125" style="51" customWidth="1"/>
    <col min="4880" max="4880" width="4.5703125" style="51" customWidth="1"/>
    <col min="4881" max="4881" width="5.5703125" style="51" customWidth="1"/>
    <col min="4882" max="4883" width="11" style="51" customWidth="1"/>
    <col min="4884" max="4884" width="11.28515625" style="51" customWidth="1"/>
    <col min="4885" max="4885" width="15.28515625" style="51" customWidth="1"/>
    <col min="4886" max="4886" width="0.42578125" style="51" customWidth="1"/>
    <col min="4887" max="4888" width="11.42578125" style="51"/>
    <col min="4889" max="4889" width="6.85546875" style="51" customWidth="1"/>
    <col min="4890" max="5121" width="11.42578125" style="51"/>
    <col min="5122" max="5122" width="10.140625" style="51" customWidth="1"/>
    <col min="5123" max="5123" width="20" style="51" customWidth="1"/>
    <col min="5124" max="5124" width="2.85546875" style="51" customWidth="1"/>
    <col min="5125" max="5126" width="4.5703125" style="51" customWidth="1"/>
    <col min="5127" max="5127" width="5.5703125" style="51" customWidth="1"/>
    <col min="5128" max="5130" width="11" style="51" customWidth="1"/>
    <col min="5131" max="5131" width="15.28515625" style="51" customWidth="1"/>
    <col min="5132" max="5132" width="1" style="51" customWidth="1"/>
    <col min="5133" max="5133" width="20" style="51" customWidth="1"/>
    <col min="5134" max="5134" width="2.85546875" style="51" customWidth="1"/>
    <col min="5135" max="5135" width="5.5703125" style="51" customWidth="1"/>
    <col min="5136" max="5136" width="4.5703125" style="51" customWidth="1"/>
    <col min="5137" max="5137" width="5.5703125" style="51" customWidth="1"/>
    <col min="5138" max="5139" width="11" style="51" customWidth="1"/>
    <col min="5140" max="5140" width="11.28515625" style="51" customWidth="1"/>
    <col min="5141" max="5141" width="15.28515625" style="51" customWidth="1"/>
    <col min="5142" max="5142" width="0.42578125" style="51" customWidth="1"/>
    <col min="5143" max="5144" width="11.42578125" style="51"/>
    <col min="5145" max="5145" width="6.85546875" style="51" customWidth="1"/>
    <col min="5146" max="5377" width="11.42578125" style="51"/>
    <col min="5378" max="5378" width="10.140625" style="51" customWidth="1"/>
    <col min="5379" max="5379" width="20" style="51" customWidth="1"/>
    <col min="5380" max="5380" width="2.85546875" style="51" customWidth="1"/>
    <col min="5381" max="5382" width="4.5703125" style="51" customWidth="1"/>
    <col min="5383" max="5383" width="5.5703125" style="51" customWidth="1"/>
    <col min="5384" max="5386" width="11" style="51" customWidth="1"/>
    <col min="5387" max="5387" width="15.28515625" style="51" customWidth="1"/>
    <col min="5388" max="5388" width="1" style="51" customWidth="1"/>
    <col min="5389" max="5389" width="20" style="51" customWidth="1"/>
    <col min="5390" max="5390" width="2.85546875" style="51" customWidth="1"/>
    <col min="5391" max="5391" width="5.5703125" style="51" customWidth="1"/>
    <col min="5392" max="5392" width="4.5703125" style="51" customWidth="1"/>
    <col min="5393" max="5393" width="5.5703125" style="51" customWidth="1"/>
    <col min="5394" max="5395" width="11" style="51" customWidth="1"/>
    <col min="5396" max="5396" width="11.28515625" style="51" customWidth="1"/>
    <col min="5397" max="5397" width="15.28515625" style="51" customWidth="1"/>
    <col min="5398" max="5398" width="0.42578125" style="51" customWidth="1"/>
    <col min="5399" max="5400" width="11.42578125" style="51"/>
    <col min="5401" max="5401" width="6.85546875" style="51" customWidth="1"/>
    <col min="5402" max="5633" width="11.42578125" style="51"/>
    <col min="5634" max="5634" width="10.140625" style="51" customWidth="1"/>
    <col min="5635" max="5635" width="20" style="51" customWidth="1"/>
    <col min="5636" max="5636" width="2.85546875" style="51" customWidth="1"/>
    <col min="5637" max="5638" width="4.5703125" style="51" customWidth="1"/>
    <col min="5639" max="5639" width="5.5703125" style="51" customWidth="1"/>
    <col min="5640" max="5642" width="11" style="51" customWidth="1"/>
    <col min="5643" max="5643" width="15.28515625" style="51" customWidth="1"/>
    <col min="5644" max="5644" width="1" style="51" customWidth="1"/>
    <col min="5645" max="5645" width="20" style="51" customWidth="1"/>
    <col min="5646" max="5646" width="2.85546875" style="51" customWidth="1"/>
    <col min="5647" max="5647" width="5.5703125" style="51" customWidth="1"/>
    <col min="5648" max="5648" width="4.5703125" style="51" customWidth="1"/>
    <col min="5649" max="5649" width="5.5703125" style="51" customWidth="1"/>
    <col min="5650" max="5651" width="11" style="51" customWidth="1"/>
    <col min="5652" max="5652" width="11.28515625" style="51" customWidth="1"/>
    <col min="5653" max="5653" width="15.28515625" style="51" customWidth="1"/>
    <col min="5654" max="5654" width="0.42578125" style="51" customWidth="1"/>
    <col min="5655" max="5656" width="11.42578125" style="51"/>
    <col min="5657" max="5657" width="6.85546875" style="51" customWidth="1"/>
    <col min="5658" max="5889" width="11.42578125" style="51"/>
    <col min="5890" max="5890" width="10.140625" style="51" customWidth="1"/>
    <col min="5891" max="5891" width="20" style="51" customWidth="1"/>
    <col min="5892" max="5892" width="2.85546875" style="51" customWidth="1"/>
    <col min="5893" max="5894" width="4.5703125" style="51" customWidth="1"/>
    <col min="5895" max="5895" width="5.5703125" style="51" customWidth="1"/>
    <col min="5896" max="5898" width="11" style="51" customWidth="1"/>
    <col min="5899" max="5899" width="15.28515625" style="51" customWidth="1"/>
    <col min="5900" max="5900" width="1" style="51" customWidth="1"/>
    <col min="5901" max="5901" width="20" style="51" customWidth="1"/>
    <col min="5902" max="5902" width="2.85546875" style="51" customWidth="1"/>
    <col min="5903" max="5903" width="5.5703125" style="51" customWidth="1"/>
    <col min="5904" max="5904" width="4.5703125" style="51" customWidth="1"/>
    <col min="5905" max="5905" width="5.5703125" style="51" customWidth="1"/>
    <col min="5906" max="5907" width="11" style="51" customWidth="1"/>
    <col min="5908" max="5908" width="11.28515625" style="51" customWidth="1"/>
    <col min="5909" max="5909" width="15.28515625" style="51" customWidth="1"/>
    <col min="5910" max="5910" width="0.42578125" style="51" customWidth="1"/>
    <col min="5911" max="5912" width="11.42578125" style="51"/>
    <col min="5913" max="5913" width="6.85546875" style="51" customWidth="1"/>
    <col min="5914" max="6145" width="11.42578125" style="51"/>
    <col min="6146" max="6146" width="10.140625" style="51" customWidth="1"/>
    <col min="6147" max="6147" width="20" style="51" customWidth="1"/>
    <col min="6148" max="6148" width="2.85546875" style="51" customWidth="1"/>
    <col min="6149" max="6150" width="4.5703125" style="51" customWidth="1"/>
    <col min="6151" max="6151" width="5.5703125" style="51" customWidth="1"/>
    <col min="6152" max="6154" width="11" style="51" customWidth="1"/>
    <col min="6155" max="6155" width="15.28515625" style="51" customWidth="1"/>
    <col min="6156" max="6156" width="1" style="51" customWidth="1"/>
    <col min="6157" max="6157" width="20" style="51" customWidth="1"/>
    <col min="6158" max="6158" width="2.85546875" style="51" customWidth="1"/>
    <col min="6159" max="6159" width="5.5703125" style="51" customWidth="1"/>
    <col min="6160" max="6160" width="4.5703125" style="51" customWidth="1"/>
    <col min="6161" max="6161" width="5.5703125" style="51" customWidth="1"/>
    <col min="6162" max="6163" width="11" style="51" customWidth="1"/>
    <col min="6164" max="6164" width="11.28515625" style="51" customWidth="1"/>
    <col min="6165" max="6165" width="15.28515625" style="51" customWidth="1"/>
    <col min="6166" max="6166" width="0.42578125" style="51" customWidth="1"/>
    <col min="6167" max="6168" width="11.42578125" style="51"/>
    <col min="6169" max="6169" width="6.85546875" style="51" customWidth="1"/>
    <col min="6170" max="6401" width="11.42578125" style="51"/>
    <col min="6402" max="6402" width="10.140625" style="51" customWidth="1"/>
    <col min="6403" max="6403" width="20" style="51" customWidth="1"/>
    <col min="6404" max="6404" width="2.85546875" style="51" customWidth="1"/>
    <col min="6405" max="6406" width="4.5703125" style="51" customWidth="1"/>
    <col min="6407" max="6407" width="5.5703125" style="51" customWidth="1"/>
    <col min="6408" max="6410" width="11" style="51" customWidth="1"/>
    <col min="6411" max="6411" width="15.28515625" style="51" customWidth="1"/>
    <col min="6412" max="6412" width="1" style="51" customWidth="1"/>
    <col min="6413" max="6413" width="20" style="51" customWidth="1"/>
    <col min="6414" max="6414" width="2.85546875" style="51" customWidth="1"/>
    <col min="6415" max="6415" width="5.5703125" style="51" customWidth="1"/>
    <col min="6416" max="6416" width="4.5703125" style="51" customWidth="1"/>
    <col min="6417" max="6417" width="5.5703125" style="51" customWidth="1"/>
    <col min="6418" max="6419" width="11" style="51" customWidth="1"/>
    <col min="6420" max="6420" width="11.28515625" style="51" customWidth="1"/>
    <col min="6421" max="6421" width="15.28515625" style="51" customWidth="1"/>
    <col min="6422" max="6422" width="0.42578125" style="51" customWidth="1"/>
    <col min="6423" max="6424" width="11.42578125" style="51"/>
    <col min="6425" max="6425" width="6.85546875" style="51" customWidth="1"/>
    <col min="6426" max="6657" width="11.42578125" style="51"/>
    <col min="6658" max="6658" width="10.140625" style="51" customWidth="1"/>
    <col min="6659" max="6659" width="20" style="51" customWidth="1"/>
    <col min="6660" max="6660" width="2.85546875" style="51" customWidth="1"/>
    <col min="6661" max="6662" width="4.5703125" style="51" customWidth="1"/>
    <col min="6663" max="6663" width="5.5703125" style="51" customWidth="1"/>
    <col min="6664" max="6666" width="11" style="51" customWidth="1"/>
    <col min="6667" max="6667" width="15.28515625" style="51" customWidth="1"/>
    <col min="6668" max="6668" width="1" style="51" customWidth="1"/>
    <col min="6669" max="6669" width="20" style="51" customWidth="1"/>
    <col min="6670" max="6670" width="2.85546875" style="51" customWidth="1"/>
    <col min="6671" max="6671" width="5.5703125" style="51" customWidth="1"/>
    <col min="6672" max="6672" width="4.5703125" style="51" customWidth="1"/>
    <col min="6673" max="6673" width="5.5703125" style="51" customWidth="1"/>
    <col min="6674" max="6675" width="11" style="51" customWidth="1"/>
    <col min="6676" max="6676" width="11.28515625" style="51" customWidth="1"/>
    <col min="6677" max="6677" width="15.28515625" style="51" customWidth="1"/>
    <col min="6678" max="6678" width="0.42578125" style="51" customWidth="1"/>
    <col min="6679" max="6680" width="11.42578125" style="51"/>
    <col min="6681" max="6681" width="6.85546875" style="51" customWidth="1"/>
    <col min="6682" max="6913" width="11.42578125" style="51"/>
    <col min="6914" max="6914" width="10.140625" style="51" customWidth="1"/>
    <col min="6915" max="6915" width="20" style="51" customWidth="1"/>
    <col min="6916" max="6916" width="2.85546875" style="51" customWidth="1"/>
    <col min="6917" max="6918" width="4.5703125" style="51" customWidth="1"/>
    <col min="6919" max="6919" width="5.5703125" style="51" customWidth="1"/>
    <col min="6920" max="6922" width="11" style="51" customWidth="1"/>
    <col min="6923" max="6923" width="15.28515625" style="51" customWidth="1"/>
    <col min="6924" max="6924" width="1" style="51" customWidth="1"/>
    <col min="6925" max="6925" width="20" style="51" customWidth="1"/>
    <col min="6926" max="6926" width="2.85546875" style="51" customWidth="1"/>
    <col min="6927" max="6927" width="5.5703125" style="51" customWidth="1"/>
    <col min="6928" max="6928" width="4.5703125" style="51" customWidth="1"/>
    <col min="6929" max="6929" width="5.5703125" style="51" customWidth="1"/>
    <col min="6930" max="6931" width="11" style="51" customWidth="1"/>
    <col min="6932" max="6932" width="11.28515625" style="51" customWidth="1"/>
    <col min="6933" max="6933" width="15.28515625" style="51" customWidth="1"/>
    <col min="6934" max="6934" width="0.42578125" style="51" customWidth="1"/>
    <col min="6935" max="6936" width="11.42578125" style="51"/>
    <col min="6937" max="6937" width="6.85546875" style="51" customWidth="1"/>
    <col min="6938" max="7169" width="11.42578125" style="51"/>
    <col min="7170" max="7170" width="10.140625" style="51" customWidth="1"/>
    <col min="7171" max="7171" width="20" style="51" customWidth="1"/>
    <col min="7172" max="7172" width="2.85546875" style="51" customWidth="1"/>
    <col min="7173" max="7174" width="4.5703125" style="51" customWidth="1"/>
    <col min="7175" max="7175" width="5.5703125" style="51" customWidth="1"/>
    <col min="7176" max="7178" width="11" style="51" customWidth="1"/>
    <col min="7179" max="7179" width="15.28515625" style="51" customWidth="1"/>
    <col min="7180" max="7180" width="1" style="51" customWidth="1"/>
    <col min="7181" max="7181" width="20" style="51" customWidth="1"/>
    <col min="7182" max="7182" width="2.85546875" style="51" customWidth="1"/>
    <col min="7183" max="7183" width="5.5703125" style="51" customWidth="1"/>
    <col min="7184" max="7184" width="4.5703125" style="51" customWidth="1"/>
    <col min="7185" max="7185" width="5.5703125" style="51" customWidth="1"/>
    <col min="7186" max="7187" width="11" style="51" customWidth="1"/>
    <col min="7188" max="7188" width="11.28515625" style="51" customWidth="1"/>
    <col min="7189" max="7189" width="15.28515625" style="51" customWidth="1"/>
    <col min="7190" max="7190" width="0.42578125" style="51" customWidth="1"/>
    <col min="7191" max="7192" width="11.42578125" style="51"/>
    <col min="7193" max="7193" width="6.85546875" style="51" customWidth="1"/>
    <col min="7194" max="7425" width="11.42578125" style="51"/>
    <col min="7426" max="7426" width="10.140625" style="51" customWidth="1"/>
    <col min="7427" max="7427" width="20" style="51" customWidth="1"/>
    <col min="7428" max="7428" width="2.85546875" style="51" customWidth="1"/>
    <col min="7429" max="7430" width="4.5703125" style="51" customWidth="1"/>
    <col min="7431" max="7431" width="5.5703125" style="51" customWidth="1"/>
    <col min="7432" max="7434" width="11" style="51" customWidth="1"/>
    <col min="7435" max="7435" width="15.28515625" style="51" customWidth="1"/>
    <col min="7436" max="7436" width="1" style="51" customWidth="1"/>
    <col min="7437" max="7437" width="20" style="51" customWidth="1"/>
    <col min="7438" max="7438" width="2.85546875" style="51" customWidth="1"/>
    <col min="7439" max="7439" width="5.5703125" style="51" customWidth="1"/>
    <col min="7440" max="7440" width="4.5703125" style="51" customWidth="1"/>
    <col min="7441" max="7441" width="5.5703125" style="51" customWidth="1"/>
    <col min="7442" max="7443" width="11" style="51" customWidth="1"/>
    <col min="7444" max="7444" width="11.28515625" style="51" customWidth="1"/>
    <col min="7445" max="7445" width="15.28515625" style="51" customWidth="1"/>
    <col min="7446" max="7446" width="0.42578125" style="51" customWidth="1"/>
    <col min="7447" max="7448" width="11.42578125" style="51"/>
    <col min="7449" max="7449" width="6.85546875" style="51" customWidth="1"/>
    <col min="7450" max="7681" width="11.42578125" style="51"/>
    <col min="7682" max="7682" width="10.140625" style="51" customWidth="1"/>
    <col min="7683" max="7683" width="20" style="51" customWidth="1"/>
    <col min="7684" max="7684" width="2.85546875" style="51" customWidth="1"/>
    <col min="7685" max="7686" width="4.5703125" style="51" customWidth="1"/>
    <col min="7687" max="7687" width="5.5703125" style="51" customWidth="1"/>
    <col min="7688" max="7690" width="11" style="51" customWidth="1"/>
    <col min="7691" max="7691" width="15.28515625" style="51" customWidth="1"/>
    <col min="7692" max="7692" width="1" style="51" customWidth="1"/>
    <col min="7693" max="7693" width="20" style="51" customWidth="1"/>
    <col min="7694" max="7694" width="2.85546875" style="51" customWidth="1"/>
    <col min="7695" max="7695" width="5.5703125" style="51" customWidth="1"/>
    <col min="7696" max="7696" width="4.5703125" style="51" customWidth="1"/>
    <col min="7697" max="7697" width="5.5703125" style="51" customWidth="1"/>
    <col min="7698" max="7699" width="11" style="51" customWidth="1"/>
    <col min="7700" max="7700" width="11.28515625" style="51" customWidth="1"/>
    <col min="7701" max="7701" width="15.28515625" style="51" customWidth="1"/>
    <col min="7702" max="7702" width="0.42578125" style="51" customWidth="1"/>
    <col min="7703" max="7704" width="11.42578125" style="51"/>
    <col min="7705" max="7705" width="6.85546875" style="51" customWidth="1"/>
    <col min="7706" max="7937" width="11.42578125" style="51"/>
    <col min="7938" max="7938" width="10.140625" style="51" customWidth="1"/>
    <col min="7939" max="7939" width="20" style="51" customWidth="1"/>
    <col min="7940" max="7940" width="2.85546875" style="51" customWidth="1"/>
    <col min="7941" max="7942" width="4.5703125" style="51" customWidth="1"/>
    <col min="7943" max="7943" width="5.5703125" style="51" customWidth="1"/>
    <col min="7944" max="7946" width="11" style="51" customWidth="1"/>
    <col min="7947" max="7947" width="15.28515625" style="51" customWidth="1"/>
    <col min="7948" max="7948" width="1" style="51" customWidth="1"/>
    <col min="7949" max="7949" width="20" style="51" customWidth="1"/>
    <col min="7950" max="7950" width="2.85546875" style="51" customWidth="1"/>
    <col min="7951" max="7951" width="5.5703125" style="51" customWidth="1"/>
    <col min="7952" max="7952" width="4.5703125" style="51" customWidth="1"/>
    <col min="7953" max="7953" width="5.5703125" style="51" customWidth="1"/>
    <col min="7954" max="7955" width="11" style="51" customWidth="1"/>
    <col min="7956" max="7956" width="11.28515625" style="51" customWidth="1"/>
    <col min="7957" max="7957" width="15.28515625" style="51" customWidth="1"/>
    <col min="7958" max="7958" width="0.42578125" style="51" customWidth="1"/>
    <col min="7959" max="7960" width="11.42578125" style="51"/>
    <col min="7961" max="7961" width="6.85546875" style="51" customWidth="1"/>
    <col min="7962" max="8193" width="11.42578125" style="51"/>
    <col min="8194" max="8194" width="10.140625" style="51" customWidth="1"/>
    <col min="8195" max="8195" width="20" style="51" customWidth="1"/>
    <col min="8196" max="8196" width="2.85546875" style="51" customWidth="1"/>
    <col min="8197" max="8198" width="4.5703125" style="51" customWidth="1"/>
    <col min="8199" max="8199" width="5.5703125" style="51" customWidth="1"/>
    <col min="8200" max="8202" width="11" style="51" customWidth="1"/>
    <col min="8203" max="8203" width="15.28515625" style="51" customWidth="1"/>
    <col min="8204" max="8204" width="1" style="51" customWidth="1"/>
    <col min="8205" max="8205" width="20" style="51" customWidth="1"/>
    <col min="8206" max="8206" width="2.85546875" style="51" customWidth="1"/>
    <col min="8207" max="8207" width="5.5703125" style="51" customWidth="1"/>
    <col min="8208" max="8208" width="4.5703125" style="51" customWidth="1"/>
    <col min="8209" max="8209" width="5.5703125" style="51" customWidth="1"/>
    <col min="8210" max="8211" width="11" style="51" customWidth="1"/>
    <col min="8212" max="8212" width="11.28515625" style="51" customWidth="1"/>
    <col min="8213" max="8213" width="15.28515625" style="51" customWidth="1"/>
    <col min="8214" max="8214" width="0.42578125" style="51" customWidth="1"/>
    <col min="8215" max="8216" width="11.42578125" style="51"/>
    <col min="8217" max="8217" width="6.85546875" style="51" customWidth="1"/>
    <col min="8218" max="8449" width="11.42578125" style="51"/>
    <col min="8450" max="8450" width="10.140625" style="51" customWidth="1"/>
    <col min="8451" max="8451" width="20" style="51" customWidth="1"/>
    <col min="8452" max="8452" width="2.85546875" style="51" customWidth="1"/>
    <col min="8453" max="8454" width="4.5703125" style="51" customWidth="1"/>
    <col min="8455" max="8455" width="5.5703125" style="51" customWidth="1"/>
    <col min="8456" max="8458" width="11" style="51" customWidth="1"/>
    <col min="8459" max="8459" width="15.28515625" style="51" customWidth="1"/>
    <col min="8460" max="8460" width="1" style="51" customWidth="1"/>
    <col min="8461" max="8461" width="20" style="51" customWidth="1"/>
    <col min="8462" max="8462" width="2.85546875" style="51" customWidth="1"/>
    <col min="8463" max="8463" width="5.5703125" style="51" customWidth="1"/>
    <col min="8464" max="8464" width="4.5703125" style="51" customWidth="1"/>
    <col min="8465" max="8465" width="5.5703125" style="51" customWidth="1"/>
    <col min="8466" max="8467" width="11" style="51" customWidth="1"/>
    <col min="8468" max="8468" width="11.28515625" style="51" customWidth="1"/>
    <col min="8469" max="8469" width="15.28515625" style="51" customWidth="1"/>
    <col min="8470" max="8470" width="0.42578125" style="51" customWidth="1"/>
    <col min="8471" max="8472" width="11.42578125" style="51"/>
    <col min="8473" max="8473" width="6.85546875" style="51" customWidth="1"/>
    <col min="8474" max="8705" width="11.42578125" style="51"/>
    <col min="8706" max="8706" width="10.140625" style="51" customWidth="1"/>
    <col min="8707" max="8707" width="20" style="51" customWidth="1"/>
    <col min="8708" max="8708" width="2.85546875" style="51" customWidth="1"/>
    <col min="8709" max="8710" width="4.5703125" style="51" customWidth="1"/>
    <col min="8711" max="8711" width="5.5703125" style="51" customWidth="1"/>
    <col min="8712" max="8714" width="11" style="51" customWidth="1"/>
    <col min="8715" max="8715" width="15.28515625" style="51" customWidth="1"/>
    <col min="8716" max="8716" width="1" style="51" customWidth="1"/>
    <col min="8717" max="8717" width="20" style="51" customWidth="1"/>
    <col min="8718" max="8718" width="2.85546875" style="51" customWidth="1"/>
    <col min="8719" max="8719" width="5.5703125" style="51" customWidth="1"/>
    <col min="8720" max="8720" width="4.5703125" style="51" customWidth="1"/>
    <col min="8721" max="8721" width="5.5703125" style="51" customWidth="1"/>
    <col min="8722" max="8723" width="11" style="51" customWidth="1"/>
    <col min="8724" max="8724" width="11.28515625" style="51" customWidth="1"/>
    <col min="8725" max="8725" width="15.28515625" style="51" customWidth="1"/>
    <col min="8726" max="8726" width="0.42578125" style="51" customWidth="1"/>
    <col min="8727" max="8728" width="11.42578125" style="51"/>
    <col min="8729" max="8729" width="6.85546875" style="51" customWidth="1"/>
    <col min="8730" max="8961" width="11.42578125" style="51"/>
    <col min="8962" max="8962" width="10.140625" style="51" customWidth="1"/>
    <col min="8963" max="8963" width="20" style="51" customWidth="1"/>
    <col min="8964" max="8964" width="2.85546875" style="51" customWidth="1"/>
    <col min="8965" max="8966" width="4.5703125" style="51" customWidth="1"/>
    <col min="8967" max="8967" width="5.5703125" style="51" customWidth="1"/>
    <col min="8968" max="8970" width="11" style="51" customWidth="1"/>
    <col min="8971" max="8971" width="15.28515625" style="51" customWidth="1"/>
    <col min="8972" max="8972" width="1" style="51" customWidth="1"/>
    <col min="8973" max="8973" width="20" style="51" customWidth="1"/>
    <col min="8974" max="8974" width="2.85546875" style="51" customWidth="1"/>
    <col min="8975" max="8975" width="5.5703125" style="51" customWidth="1"/>
    <col min="8976" max="8976" width="4.5703125" style="51" customWidth="1"/>
    <col min="8977" max="8977" width="5.5703125" style="51" customWidth="1"/>
    <col min="8978" max="8979" width="11" style="51" customWidth="1"/>
    <col min="8980" max="8980" width="11.28515625" style="51" customWidth="1"/>
    <col min="8981" max="8981" width="15.28515625" style="51" customWidth="1"/>
    <col min="8982" max="8982" width="0.42578125" style="51" customWidth="1"/>
    <col min="8983" max="8984" width="11.42578125" style="51"/>
    <col min="8985" max="8985" width="6.85546875" style="51" customWidth="1"/>
    <col min="8986" max="9217" width="11.42578125" style="51"/>
    <col min="9218" max="9218" width="10.140625" style="51" customWidth="1"/>
    <col min="9219" max="9219" width="20" style="51" customWidth="1"/>
    <col min="9220" max="9220" width="2.85546875" style="51" customWidth="1"/>
    <col min="9221" max="9222" width="4.5703125" style="51" customWidth="1"/>
    <col min="9223" max="9223" width="5.5703125" style="51" customWidth="1"/>
    <col min="9224" max="9226" width="11" style="51" customWidth="1"/>
    <col min="9227" max="9227" width="15.28515625" style="51" customWidth="1"/>
    <col min="9228" max="9228" width="1" style="51" customWidth="1"/>
    <col min="9229" max="9229" width="20" style="51" customWidth="1"/>
    <col min="9230" max="9230" width="2.85546875" style="51" customWidth="1"/>
    <col min="9231" max="9231" width="5.5703125" style="51" customWidth="1"/>
    <col min="9232" max="9232" width="4.5703125" style="51" customWidth="1"/>
    <col min="9233" max="9233" width="5.5703125" style="51" customWidth="1"/>
    <col min="9234" max="9235" width="11" style="51" customWidth="1"/>
    <col min="9236" max="9236" width="11.28515625" style="51" customWidth="1"/>
    <col min="9237" max="9237" width="15.28515625" style="51" customWidth="1"/>
    <col min="9238" max="9238" width="0.42578125" style="51" customWidth="1"/>
    <col min="9239" max="9240" width="11.42578125" style="51"/>
    <col min="9241" max="9241" width="6.85546875" style="51" customWidth="1"/>
    <col min="9242" max="9473" width="11.42578125" style="51"/>
    <col min="9474" max="9474" width="10.140625" style="51" customWidth="1"/>
    <col min="9475" max="9475" width="20" style="51" customWidth="1"/>
    <col min="9476" max="9476" width="2.85546875" style="51" customWidth="1"/>
    <col min="9477" max="9478" width="4.5703125" style="51" customWidth="1"/>
    <col min="9479" max="9479" width="5.5703125" style="51" customWidth="1"/>
    <col min="9480" max="9482" width="11" style="51" customWidth="1"/>
    <col min="9483" max="9483" width="15.28515625" style="51" customWidth="1"/>
    <col min="9484" max="9484" width="1" style="51" customWidth="1"/>
    <col min="9485" max="9485" width="20" style="51" customWidth="1"/>
    <col min="9486" max="9486" width="2.85546875" style="51" customWidth="1"/>
    <col min="9487" max="9487" width="5.5703125" style="51" customWidth="1"/>
    <col min="9488" max="9488" width="4.5703125" style="51" customWidth="1"/>
    <col min="9489" max="9489" width="5.5703125" style="51" customWidth="1"/>
    <col min="9490" max="9491" width="11" style="51" customWidth="1"/>
    <col min="9492" max="9492" width="11.28515625" style="51" customWidth="1"/>
    <col min="9493" max="9493" width="15.28515625" style="51" customWidth="1"/>
    <col min="9494" max="9494" width="0.42578125" style="51" customWidth="1"/>
    <col min="9495" max="9496" width="11.42578125" style="51"/>
    <col min="9497" max="9497" width="6.85546875" style="51" customWidth="1"/>
    <col min="9498" max="9729" width="11.42578125" style="51"/>
    <col min="9730" max="9730" width="10.140625" style="51" customWidth="1"/>
    <col min="9731" max="9731" width="20" style="51" customWidth="1"/>
    <col min="9732" max="9732" width="2.85546875" style="51" customWidth="1"/>
    <col min="9733" max="9734" width="4.5703125" style="51" customWidth="1"/>
    <col min="9735" max="9735" width="5.5703125" style="51" customWidth="1"/>
    <col min="9736" max="9738" width="11" style="51" customWidth="1"/>
    <col min="9739" max="9739" width="15.28515625" style="51" customWidth="1"/>
    <col min="9740" max="9740" width="1" style="51" customWidth="1"/>
    <col min="9741" max="9741" width="20" style="51" customWidth="1"/>
    <col min="9742" max="9742" width="2.85546875" style="51" customWidth="1"/>
    <col min="9743" max="9743" width="5.5703125" style="51" customWidth="1"/>
    <col min="9744" max="9744" width="4.5703125" style="51" customWidth="1"/>
    <col min="9745" max="9745" width="5.5703125" style="51" customWidth="1"/>
    <col min="9746" max="9747" width="11" style="51" customWidth="1"/>
    <col min="9748" max="9748" width="11.28515625" style="51" customWidth="1"/>
    <col min="9749" max="9749" width="15.28515625" style="51" customWidth="1"/>
    <col min="9750" max="9750" width="0.42578125" style="51" customWidth="1"/>
    <col min="9751" max="9752" width="11.42578125" style="51"/>
    <col min="9753" max="9753" width="6.85546875" style="51" customWidth="1"/>
    <col min="9754" max="9985" width="11.42578125" style="51"/>
    <col min="9986" max="9986" width="10.140625" style="51" customWidth="1"/>
    <col min="9987" max="9987" width="20" style="51" customWidth="1"/>
    <col min="9988" max="9988" width="2.85546875" style="51" customWidth="1"/>
    <col min="9989" max="9990" width="4.5703125" style="51" customWidth="1"/>
    <col min="9991" max="9991" width="5.5703125" style="51" customWidth="1"/>
    <col min="9992" max="9994" width="11" style="51" customWidth="1"/>
    <col min="9995" max="9995" width="15.28515625" style="51" customWidth="1"/>
    <col min="9996" max="9996" width="1" style="51" customWidth="1"/>
    <col min="9997" max="9997" width="20" style="51" customWidth="1"/>
    <col min="9998" max="9998" width="2.85546875" style="51" customWidth="1"/>
    <col min="9999" max="9999" width="5.5703125" style="51" customWidth="1"/>
    <col min="10000" max="10000" width="4.5703125" style="51" customWidth="1"/>
    <col min="10001" max="10001" width="5.5703125" style="51" customWidth="1"/>
    <col min="10002" max="10003" width="11" style="51" customWidth="1"/>
    <col min="10004" max="10004" width="11.28515625" style="51" customWidth="1"/>
    <col min="10005" max="10005" width="15.28515625" style="51" customWidth="1"/>
    <col min="10006" max="10006" width="0.42578125" style="51" customWidth="1"/>
    <col min="10007" max="10008" width="11.42578125" style="51"/>
    <col min="10009" max="10009" width="6.85546875" style="51" customWidth="1"/>
    <col min="10010" max="10241" width="11.42578125" style="51"/>
    <col min="10242" max="10242" width="10.140625" style="51" customWidth="1"/>
    <col min="10243" max="10243" width="20" style="51" customWidth="1"/>
    <col min="10244" max="10244" width="2.85546875" style="51" customWidth="1"/>
    <col min="10245" max="10246" width="4.5703125" style="51" customWidth="1"/>
    <col min="10247" max="10247" width="5.5703125" style="51" customWidth="1"/>
    <col min="10248" max="10250" width="11" style="51" customWidth="1"/>
    <col min="10251" max="10251" width="15.28515625" style="51" customWidth="1"/>
    <col min="10252" max="10252" width="1" style="51" customWidth="1"/>
    <col min="10253" max="10253" width="20" style="51" customWidth="1"/>
    <col min="10254" max="10254" width="2.85546875" style="51" customWidth="1"/>
    <col min="10255" max="10255" width="5.5703125" style="51" customWidth="1"/>
    <col min="10256" max="10256" width="4.5703125" style="51" customWidth="1"/>
    <col min="10257" max="10257" width="5.5703125" style="51" customWidth="1"/>
    <col min="10258" max="10259" width="11" style="51" customWidth="1"/>
    <col min="10260" max="10260" width="11.28515625" style="51" customWidth="1"/>
    <col min="10261" max="10261" width="15.28515625" style="51" customWidth="1"/>
    <col min="10262" max="10262" width="0.42578125" style="51" customWidth="1"/>
    <col min="10263" max="10264" width="11.42578125" style="51"/>
    <col min="10265" max="10265" width="6.85546875" style="51" customWidth="1"/>
    <col min="10266" max="10497" width="11.42578125" style="51"/>
    <col min="10498" max="10498" width="10.140625" style="51" customWidth="1"/>
    <col min="10499" max="10499" width="20" style="51" customWidth="1"/>
    <col min="10500" max="10500" width="2.85546875" style="51" customWidth="1"/>
    <col min="10501" max="10502" width="4.5703125" style="51" customWidth="1"/>
    <col min="10503" max="10503" width="5.5703125" style="51" customWidth="1"/>
    <col min="10504" max="10506" width="11" style="51" customWidth="1"/>
    <col min="10507" max="10507" width="15.28515625" style="51" customWidth="1"/>
    <col min="10508" max="10508" width="1" style="51" customWidth="1"/>
    <col min="10509" max="10509" width="20" style="51" customWidth="1"/>
    <col min="10510" max="10510" width="2.85546875" style="51" customWidth="1"/>
    <col min="10511" max="10511" width="5.5703125" style="51" customWidth="1"/>
    <col min="10512" max="10512" width="4.5703125" style="51" customWidth="1"/>
    <col min="10513" max="10513" width="5.5703125" style="51" customWidth="1"/>
    <col min="10514" max="10515" width="11" style="51" customWidth="1"/>
    <col min="10516" max="10516" width="11.28515625" style="51" customWidth="1"/>
    <col min="10517" max="10517" width="15.28515625" style="51" customWidth="1"/>
    <col min="10518" max="10518" width="0.42578125" style="51" customWidth="1"/>
    <col min="10519" max="10520" width="11.42578125" style="51"/>
    <col min="10521" max="10521" width="6.85546875" style="51" customWidth="1"/>
    <col min="10522" max="10753" width="11.42578125" style="51"/>
    <col min="10754" max="10754" width="10.140625" style="51" customWidth="1"/>
    <col min="10755" max="10755" width="20" style="51" customWidth="1"/>
    <col min="10756" max="10756" width="2.85546875" style="51" customWidth="1"/>
    <col min="10757" max="10758" width="4.5703125" style="51" customWidth="1"/>
    <col min="10759" max="10759" width="5.5703125" style="51" customWidth="1"/>
    <col min="10760" max="10762" width="11" style="51" customWidth="1"/>
    <col min="10763" max="10763" width="15.28515625" style="51" customWidth="1"/>
    <col min="10764" max="10764" width="1" style="51" customWidth="1"/>
    <col min="10765" max="10765" width="20" style="51" customWidth="1"/>
    <col min="10766" max="10766" width="2.85546875" style="51" customWidth="1"/>
    <col min="10767" max="10767" width="5.5703125" style="51" customWidth="1"/>
    <col min="10768" max="10768" width="4.5703125" style="51" customWidth="1"/>
    <col min="10769" max="10769" width="5.5703125" style="51" customWidth="1"/>
    <col min="10770" max="10771" width="11" style="51" customWidth="1"/>
    <col min="10772" max="10772" width="11.28515625" style="51" customWidth="1"/>
    <col min="10773" max="10773" width="15.28515625" style="51" customWidth="1"/>
    <col min="10774" max="10774" width="0.42578125" style="51" customWidth="1"/>
    <col min="10775" max="10776" width="11.42578125" style="51"/>
    <col min="10777" max="10777" width="6.85546875" style="51" customWidth="1"/>
    <col min="10778" max="11009" width="11.42578125" style="51"/>
    <col min="11010" max="11010" width="10.140625" style="51" customWidth="1"/>
    <col min="11011" max="11011" width="20" style="51" customWidth="1"/>
    <col min="11012" max="11012" width="2.85546875" style="51" customWidth="1"/>
    <col min="11013" max="11014" width="4.5703125" style="51" customWidth="1"/>
    <col min="11015" max="11015" width="5.5703125" style="51" customWidth="1"/>
    <col min="11016" max="11018" width="11" style="51" customWidth="1"/>
    <col min="11019" max="11019" width="15.28515625" style="51" customWidth="1"/>
    <col min="11020" max="11020" width="1" style="51" customWidth="1"/>
    <col min="11021" max="11021" width="20" style="51" customWidth="1"/>
    <col min="11022" max="11022" width="2.85546875" style="51" customWidth="1"/>
    <col min="11023" max="11023" width="5.5703125" style="51" customWidth="1"/>
    <col min="11024" max="11024" width="4.5703125" style="51" customWidth="1"/>
    <col min="11025" max="11025" width="5.5703125" style="51" customWidth="1"/>
    <col min="11026" max="11027" width="11" style="51" customWidth="1"/>
    <col min="11028" max="11028" width="11.28515625" style="51" customWidth="1"/>
    <col min="11029" max="11029" width="15.28515625" style="51" customWidth="1"/>
    <col min="11030" max="11030" width="0.42578125" style="51" customWidth="1"/>
    <col min="11031" max="11032" width="11.42578125" style="51"/>
    <col min="11033" max="11033" width="6.85546875" style="51" customWidth="1"/>
    <col min="11034" max="11265" width="11.42578125" style="51"/>
    <col min="11266" max="11266" width="10.140625" style="51" customWidth="1"/>
    <col min="11267" max="11267" width="20" style="51" customWidth="1"/>
    <col min="11268" max="11268" width="2.85546875" style="51" customWidth="1"/>
    <col min="11269" max="11270" width="4.5703125" style="51" customWidth="1"/>
    <col min="11271" max="11271" width="5.5703125" style="51" customWidth="1"/>
    <col min="11272" max="11274" width="11" style="51" customWidth="1"/>
    <col min="11275" max="11275" width="15.28515625" style="51" customWidth="1"/>
    <col min="11276" max="11276" width="1" style="51" customWidth="1"/>
    <col min="11277" max="11277" width="20" style="51" customWidth="1"/>
    <col min="11278" max="11278" width="2.85546875" style="51" customWidth="1"/>
    <col min="11279" max="11279" width="5.5703125" style="51" customWidth="1"/>
    <col min="11280" max="11280" width="4.5703125" style="51" customWidth="1"/>
    <col min="11281" max="11281" width="5.5703125" style="51" customWidth="1"/>
    <col min="11282" max="11283" width="11" style="51" customWidth="1"/>
    <col min="11284" max="11284" width="11.28515625" style="51" customWidth="1"/>
    <col min="11285" max="11285" width="15.28515625" style="51" customWidth="1"/>
    <col min="11286" max="11286" width="0.42578125" style="51" customWidth="1"/>
    <col min="11287" max="11288" width="11.42578125" style="51"/>
    <col min="11289" max="11289" width="6.85546875" style="51" customWidth="1"/>
    <col min="11290" max="11521" width="11.42578125" style="51"/>
    <col min="11522" max="11522" width="10.140625" style="51" customWidth="1"/>
    <col min="11523" max="11523" width="20" style="51" customWidth="1"/>
    <col min="11524" max="11524" width="2.85546875" style="51" customWidth="1"/>
    <col min="11525" max="11526" width="4.5703125" style="51" customWidth="1"/>
    <col min="11527" max="11527" width="5.5703125" style="51" customWidth="1"/>
    <col min="11528" max="11530" width="11" style="51" customWidth="1"/>
    <col min="11531" max="11531" width="15.28515625" style="51" customWidth="1"/>
    <col min="11532" max="11532" width="1" style="51" customWidth="1"/>
    <col min="11533" max="11533" width="20" style="51" customWidth="1"/>
    <col min="11534" max="11534" width="2.85546875" style="51" customWidth="1"/>
    <col min="11535" max="11535" width="5.5703125" style="51" customWidth="1"/>
    <col min="11536" max="11536" width="4.5703125" style="51" customWidth="1"/>
    <col min="11537" max="11537" width="5.5703125" style="51" customWidth="1"/>
    <col min="11538" max="11539" width="11" style="51" customWidth="1"/>
    <col min="11540" max="11540" width="11.28515625" style="51" customWidth="1"/>
    <col min="11541" max="11541" width="15.28515625" style="51" customWidth="1"/>
    <col min="11542" max="11542" width="0.42578125" style="51" customWidth="1"/>
    <col min="11543" max="11544" width="11.42578125" style="51"/>
    <col min="11545" max="11545" width="6.85546875" style="51" customWidth="1"/>
    <col min="11546" max="11777" width="11.42578125" style="51"/>
    <col min="11778" max="11778" width="10.140625" style="51" customWidth="1"/>
    <col min="11779" max="11779" width="20" style="51" customWidth="1"/>
    <col min="11780" max="11780" width="2.85546875" style="51" customWidth="1"/>
    <col min="11781" max="11782" width="4.5703125" style="51" customWidth="1"/>
    <col min="11783" max="11783" width="5.5703125" style="51" customWidth="1"/>
    <col min="11784" max="11786" width="11" style="51" customWidth="1"/>
    <col min="11787" max="11787" width="15.28515625" style="51" customWidth="1"/>
    <col min="11788" max="11788" width="1" style="51" customWidth="1"/>
    <col min="11789" max="11789" width="20" style="51" customWidth="1"/>
    <col min="11790" max="11790" width="2.85546875" style="51" customWidth="1"/>
    <col min="11791" max="11791" width="5.5703125" style="51" customWidth="1"/>
    <col min="11792" max="11792" width="4.5703125" style="51" customWidth="1"/>
    <col min="11793" max="11793" width="5.5703125" style="51" customWidth="1"/>
    <col min="11794" max="11795" width="11" style="51" customWidth="1"/>
    <col min="11796" max="11796" width="11.28515625" style="51" customWidth="1"/>
    <col min="11797" max="11797" width="15.28515625" style="51" customWidth="1"/>
    <col min="11798" max="11798" width="0.42578125" style="51" customWidth="1"/>
    <col min="11799" max="11800" width="11.42578125" style="51"/>
    <col min="11801" max="11801" width="6.85546875" style="51" customWidth="1"/>
    <col min="11802" max="12033" width="11.42578125" style="51"/>
    <col min="12034" max="12034" width="10.140625" style="51" customWidth="1"/>
    <col min="12035" max="12035" width="20" style="51" customWidth="1"/>
    <col min="12036" max="12036" width="2.85546875" style="51" customWidth="1"/>
    <col min="12037" max="12038" width="4.5703125" style="51" customWidth="1"/>
    <col min="12039" max="12039" width="5.5703125" style="51" customWidth="1"/>
    <col min="12040" max="12042" width="11" style="51" customWidth="1"/>
    <col min="12043" max="12043" width="15.28515625" style="51" customWidth="1"/>
    <col min="12044" max="12044" width="1" style="51" customWidth="1"/>
    <col min="12045" max="12045" width="20" style="51" customWidth="1"/>
    <col min="12046" max="12046" width="2.85546875" style="51" customWidth="1"/>
    <col min="12047" max="12047" width="5.5703125" style="51" customWidth="1"/>
    <col min="12048" max="12048" width="4.5703125" style="51" customWidth="1"/>
    <col min="12049" max="12049" width="5.5703125" style="51" customWidth="1"/>
    <col min="12050" max="12051" width="11" style="51" customWidth="1"/>
    <col min="12052" max="12052" width="11.28515625" style="51" customWidth="1"/>
    <col min="12053" max="12053" width="15.28515625" style="51" customWidth="1"/>
    <col min="12054" max="12054" width="0.42578125" style="51" customWidth="1"/>
    <col min="12055" max="12056" width="11.42578125" style="51"/>
    <col min="12057" max="12057" width="6.85546875" style="51" customWidth="1"/>
    <col min="12058" max="12289" width="11.42578125" style="51"/>
    <col min="12290" max="12290" width="10.140625" style="51" customWidth="1"/>
    <col min="12291" max="12291" width="20" style="51" customWidth="1"/>
    <col min="12292" max="12292" width="2.85546875" style="51" customWidth="1"/>
    <col min="12293" max="12294" width="4.5703125" style="51" customWidth="1"/>
    <col min="12295" max="12295" width="5.5703125" style="51" customWidth="1"/>
    <col min="12296" max="12298" width="11" style="51" customWidth="1"/>
    <col min="12299" max="12299" width="15.28515625" style="51" customWidth="1"/>
    <col min="12300" max="12300" width="1" style="51" customWidth="1"/>
    <col min="12301" max="12301" width="20" style="51" customWidth="1"/>
    <col min="12302" max="12302" width="2.85546875" style="51" customWidth="1"/>
    <col min="12303" max="12303" width="5.5703125" style="51" customWidth="1"/>
    <col min="12304" max="12304" width="4.5703125" style="51" customWidth="1"/>
    <col min="12305" max="12305" width="5.5703125" style="51" customWidth="1"/>
    <col min="12306" max="12307" width="11" style="51" customWidth="1"/>
    <col min="12308" max="12308" width="11.28515625" style="51" customWidth="1"/>
    <col min="12309" max="12309" width="15.28515625" style="51" customWidth="1"/>
    <col min="12310" max="12310" width="0.42578125" style="51" customWidth="1"/>
    <col min="12311" max="12312" width="11.42578125" style="51"/>
    <col min="12313" max="12313" width="6.85546875" style="51" customWidth="1"/>
    <col min="12314" max="12545" width="11.42578125" style="51"/>
    <col min="12546" max="12546" width="10.140625" style="51" customWidth="1"/>
    <col min="12547" max="12547" width="20" style="51" customWidth="1"/>
    <col min="12548" max="12548" width="2.85546875" style="51" customWidth="1"/>
    <col min="12549" max="12550" width="4.5703125" style="51" customWidth="1"/>
    <col min="12551" max="12551" width="5.5703125" style="51" customWidth="1"/>
    <col min="12552" max="12554" width="11" style="51" customWidth="1"/>
    <col min="12555" max="12555" width="15.28515625" style="51" customWidth="1"/>
    <col min="12556" max="12556" width="1" style="51" customWidth="1"/>
    <col min="12557" max="12557" width="20" style="51" customWidth="1"/>
    <col min="12558" max="12558" width="2.85546875" style="51" customWidth="1"/>
    <col min="12559" max="12559" width="5.5703125" style="51" customWidth="1"/>
    <col min="12560" max="12560" width="4.5703125" style="51" customWidth="1"/>
    <col min="12561" max="12561" width="5.5703125" style="51" customWidth="1"/>
    <col min="12562" max="12563" width="11" style="51" customWidth="1"/>
    <col min="12564" max="12564" width="11.28515625" style="51" customWidth="1"/>
    <col min="12565" max="12565" width="15.28515625" style="51" customWidth="1"/>
    <col min="12566" max="12566" width="0.42578125" style="51" customWidth="1"/>
    <col min="12567" max="12568" width="11.42578125" style="51"/>
    <col min="12569" max="12569" width="6.85546875" style="51" customWidth="1"/>
    <col min="12570" max="12801" width="11.42578125" style="51"/>
    <col min="12802" max="12802" width="10.140625" style="51" customWidth="1"/>
    <col min="12803" max="12803" width="20" style="51" customWidth="1"/>
    <col min="12804" max="12804" width="2.85546875" style="51" customWidth="1"/>
    <col min="12805" max="12806" width="4.5703125" style="51" customWidth="1"/>
    <col min="12807" max="12807" width="5.5703125" style="51" customWidth="1"/>
    <col min="12808" max="12810" width="11" style="51" customWidth="1"/>
    <col min="12811" max="12811" width="15.28515625" style="51" customWidth="1"/>
    <col min="12812" max="12812" width="1" style="51" customWidth="1"/>
    <col min="12813" max="12813" width="20" style="51" customWidth="1"/>
    <col min="12814" max="12814" width="2.85546875" style="51" customWidth="1"/>
    <col min="12815" max="12815" width="5.5703125" style="51" customWidth="1"/>
    <col min="12816" max="12816" width="4.5703125" style="51" customWidth="1"/>
    <col min="12817" max="12817" width="5.5703125" style="51" customWidth="1"/>
    <col min="12818" max="12819" width="11" style="51" customWidth="1"/>
    <col min="12820" max="12820" width="11.28515625" style="51" customWidth="1"/>
    <col min="12821" max="12821" width="15.28515625" style="51" customWidth="1"/>
    <col min="12822" max="12822" width="0.42578125" style="51" customWidth="1"/>
    <col min="12823" max="12824" width="11.42578125" style="51"/>
    <col min="12825" max="12825" width="6.85546875" style="51" customWidth="1"/>
    <col min="12826" max="13057" width="11.42578125" style="51"/>
    <col min="13058" max="13058" width="10.140625" style="51" customWidth="1"/>
    <col min="13059" max="13059" width="20" style="51" customWidth="1"/>
    <col min="13060" max="13060" width="2.85546875" style="51" customWidth="1"/>
    <col min="13061" max="13062" width="4.5703125" style="51" customWidth="1"/>
    <col min="13063" max="13063" width="5.5703125" style="51" customWidth="1"/>
    <col min="13064" max="13066" width="11" style="51" customWidth="1"/>
    <col min="13067" max="13067" width="15.28515625" style="51" customWidth="1"/>
    <col min="13068" max="13068" width="1" style="51" customWidth="1"/>
    <col min="13069" max="13069" width="20" style="51" customWidth="1"/>
    <col min="13070" max="13070" width="2.85546875" style="51" customWidth="1"/>
    <col min="13071" max="13071" width="5.5703125" style="51" customWidth="1"/>
    <col min="13072" max="13072" width="4.5703125" style="51" customWidth="1"/>
    <col min="13073" max="13073" width="5.5703125" style="51" customWidth="1"/>
    <col min="13074" max="13075" width="11" style="51" customWidth="1"/>
    <col min="13076" max="13076" width="11.28515625" style="51" customWidth="1"/>
    <col min="13077" max="13077" width="15.28515625" style="51" customWidth="1"/>
    <col min="13078" max="13078" width="0.42578125" style="51" customWidth="1"/>
    <col min="13079" max="13080" width="11.42578125" style="51"/>
    <col min="13081" max="13081" width="6.85546875" style="51" customWidth="1"/>
    <col min="13082" max="13313" width="11.42578125" style="51"/>
    <col min="13314" max="13314" width="10.140625" style="51" customWidth="1"/>
    <col min="13315" max="13315" width="20" style="51" customWidth="1"/>
    <col min="13316" max="13316" width="2.85546875" style="51" customWidth="1"/>
    <col min="13317" max="13318" width="4.5703125" style="51" customWidth="1"/>
    <col min="13319" max="13319" width="5.5703125" style="51" customWidth="1"/>
    <col min="13320" max="13322" width="11" style="51" customWidth="1"/>
    <col min="13323" max="13323" width="15.28515625" style="51" customWidth="1"/>
    <col min="13324" max="13324" width="1" style="51" customWidth="1"/>
    <col min="13325" max="13325" width="20" style="51" customWidth="1"/>
    <col min="13326" max="13326" width="2.85546875" style="51" customWidth="1"/>
    <col min="13327" max="13327" width="5.5703125" style="51" customWidth="1"/>
    <col min="13328" max="13328" width="4.5703125" style="51" customWidth="1"/>
    <col min="13329" max="13329" width="5.5703125" style="51" customWidth="1"/>
    <col min="13330" max="13331" width="11" style="51" customWidth="1"/>
    <col min="13332" max="13332" width="11.28515625" style="51" customWidth="1"/>
    <col min="13333" max="13333" width="15.28515625" style="51" customWidth="1"/>
    <col min="13334" max="13334" width="0.42578125" style="51" customWidth="1"/>
    <col min="13335" max="13336" width="11.42578125" style="51"/>
    <col min="13337" max="13337" width="6.85546875" style="51" customWidth="1"/>
    <col min="13338" max="13569" width="11.42578125" style="51"/>
    <col min="13570" max="13570" width="10.140625" style="51" customWidth="1"/>
    <col min="13571" max="13571" width="20" style="51" customWidth="1"/>
    <col min="13572" max="13572" width="2.85546875" style="51" customWidth="1"/>
    <col min="13573" max="13574" width="4.5703125" style="51" customWidth="1"/>
    <col min="13575" max="13575" width="5.5703125" style="51" customWidth="1"/>
    <col min="13576" max="13578" width="11" style="51" customWidth="1"/>
    <col min="13579" max="13579" width="15.28515625" style="51" customWidth="1"/>
    <col min="13580" max="13580" width="1" style="51" customWidth="1"/>
    <col min="13581" max="13581" width="20" style="51" customWidth="1"/>
    <col min="13582" max="13582" width="2.85546875" style="51" customWidth="1"/>
    <col min="13583" max="13583" width="5.5703125" style="51" customWidth="1"/>
    <col min="13584" max="13584" width="4.5703125" style="51" customWidth="1"/>
    <col min="13585" max="13585" width="5.5703125" style="51" customWidth="1"/>
    <col min="13586" max="13587" width="11" style="51" customWidth="1"/>
    <col min="13588" max="13588" width="11.28515625" style="51" customWidth="1"/>
    <col min="13589" max="13589" width="15.28515625" style="51" customWidth="1"/>
    <col min="13590" max="13590" width="0.42578125" style="51" customWidth="1"/>
    <col min="13591" max="13592" width="11.42578125" style="51"/>
    <col min="13593" max="13593" width="6.85546875" style="51" customWidth="1"/>
    <col min="13594" max="13825" width="11.42578125" style="51"/>
    <col min="13826" max="13826" width="10.140625" style="51" customWidth="1"/>
    <col min="13827" max="13827" width="20" style="51" customWidth="1"/>
    <col min="13828" max="13828" width="2.85546875" style="51" customWidth="1"/>
    <col min="13829" max="13830" width="4.5703125" style="51" customWidth="1"/>
    <col min="13831" max="13831" width="5.5703125" style="51" customWidth="1"/>
    <col min="13832" max="13834" width="11" style="51" customWidth="1"/>
    <col min="13835" max="13835" width="15.28515625" style="51" customWidth="1"/>
    <col min="13836" max="13836" width="1" style="51" customWidth="1"/>
    <col min="13837" max="13837" width="20" style="51" customWidth="1"/>
    <col min="13838" max="13838" width="2.85546875" style="51" customWidth="1"/>
    <col min="13839" max="13839" width="5.5703125" style="51" customWidth="1"/>
    <col min="13840" max="13840" width="4.5703125" style="51" customWidth="1"/>
    <col min="13841" max="13841" width="5.5703125" style="51" customWidth="1"/>
    <col min="13842" max="13843" width="11" style="51" customWidth="1"/>
    <col min="13844" max="13844" width="11.28515625" style="51" customWidth="1"/>
    <col min="13845" max="13845" width="15.28515625" style="51" customWidth="1"/>
    <col min="13846" max="13846" width="0.42578125" style="51" customWidth="1"/>
    <col min="13847" max="13848" width="11.42578125" style="51"/>
    <col min="13849" max="13849" width="6.85546875" style="51" customWidth="1"/>
    <col min="13850" max="14081" width="11.42578125" style="51"/>
    <col min="14082" max="14082" width="10.140625" style="51" customWidth="1"/>
    <col min="14083" max="14083" width="20" style="51" customWidth="1"/>
    <col min="14084" max="14084" width="2.85546875" style="51" customWidth="1"/>
    <col min="14085" max="14086" width="4.5703125" style="51" customWidth="1"/>
    <col min="14087" max="14087" width="5.5703125" style="51" customWidth="1"/>
    <col min="14088" max="14090" width="11" style="51" customWidth="1"/>
    <col min="14091" max="14091" width="15.28515625" style="51" customWidth="1"/>
    <col min="14092" max="14092" width="1" style="51" customWidth="1"/>
    <col min="14093" max="14093" width="20" style="51" customWidth="1"/>
    <col min="14094" max="14094" width="2.85546875" style="51" customWidth="1"/>
    <col min="14095" max="14095" width="5.5703125" style="51" customWidth="1"/>
    <col min="14096" max="14096" width="4.5703125" style="51" customWidth="1"/>
    <col min="14097" max="14097" width="5.5703125" style="51" customWidth="1"/>
    <col min="14098" max="14099" width="11" style="51" customWidth="1"/>
    <col min="14100" max="14100" width="11.28515625" style="51" customWidth="1"/>
    <col min="14101" max="14101" width="15.28515625" style="51" customWidth="1"/>
    <col min="14102" max="14102" width="0.42578125" style="51" customWidth="1"/>
    <col min="14103" max="14104" width="11.42578125" style="51"/>
    <col min="14105" max="14105" width="6.85546875" style="51" customWidth="1"/>
    <col min="14106" max="14337" width="11.42578125" style="51"/>
    <col min="14338" max="14338" width="10.140625" style="51" customWidth="1"/>
    <col min="14339" max="14339" width="20" style="51" customWidth="1"/>
    <col min="14340" max="14340" width="2.85546875" style="51" customWidth="1"/>
    <col min="14341" max="14342" width="4.5703125" style="51" customWidth="1"/>
    <col min="14343" max="14343" width="5.5703125" style="51" customWidth="1"/>
    <col min="14344" max="14346" width="11" style="51" customWidth="1"/>
    <col min="14347" max="14347" width="15.28515625" style="51" customWidth="1"/>
    <col min="14348" max="14348" width="1" style="51" customWidth="1"/>
    <col min="14349" max="14349" width="20" style="51" customWidth="1"/>
    <col min="14350" max="14350" width="2.85546875" style="51" customWidth="1"/>
    <col min="14351" max="14351" width="5.5703125" style="51" customWidth="1"/>
    <col min="14352" max="14352" width="4.5703125" style="51" customWidth="1"/>
    <col min="14353" max="14353" width="5.5703125" style="51" customWidth="1"/>
    <col min="14354" max="14355" width="11" style="51" customWidth="1"/>
    <col min="14356" max="14356" width="11.28515625" style="51" customWidth="1"/>
    <col min="14357" max="14357" width="15.28515625" style="51" customWidth="1"/>
    <col min="14358" max="14358" width="0.42578125" style="51" customWidth="1"/>
    <col min="14359" max="14360" width="11.42578125" style="51"/>
    <col min="14361" max="14361" width="6.85546875" style="51" customWidth="1"/>
    <col min="14362" max="14593" width="11.42578125" style="51"/>
    <col min="14594" max="14594" width="10.140625" style="51" customWidth="1"/>
    <col min="14595" max="14595" width="20" style="51" customWidth="1"/>
    <col min="14596" max="14596" width="2.85546875" style="51" customWidth="1"/>
    <col min="14597" max="14598" width="4.5703125" style="51" customWidth="1"/>
    <col min="14599" max="14599" width="5.5703125" style="51" customWidth="1"/>
    <col min="14600" max="14602" width="11" style="51" customWidth="1"/>
    <col min="14603" max="14603" width="15.28515625" style="51" customWidth="1"/>
    <col min="14604" max="14604" width="1" style="51" customWidth="1"/>
    <col min="14605" max="14605" width="20" style="51" customWidth="1"/>
    <col min="14606" max="14606" width="2.85546875" style="51" customWidth="1"/>
    <col min="14607" max="14607" width="5.5703125" style="51" customWidth="1"/>
    <col min="14608" max="14608" width="4.5703125" style="51" customWidth="1"/>
    <col min="14609" max="14609" width="5.5703125" style="51" customWidth="1"/>
    <col min="14610" max="14611" width="11" style="51" customWidth="1"/>
    <col min="14612" max="14612" width="11.28515625" style="51" customWidth="1"/>
    <col min="14613" max="14613" width="15.28515625" style="51" customWidth="1"/>
    <col min="14614" max="14614" width="0.42578125" style="51" customWidth="1"/>
    <col min="14615" max="14616" width="11.42578125" style="51"/>
    <col min="14617" max="14617" width="6.85546875" style="51" customWidth="1"/>
    <col min="14618" max="14849" width="11.42578125" style="51"/>
    <col min="14850" max="14850" width="10.140625" style="51" customWidth="1"/>
    <col min="14851" max="14851" width="20" style="51" customWidth="1"/>
    <col min="14852" max="14852" width="2.85546875" style="51" customWidth="1"/>
    <col min="14853" max="14854" width="4.5703125" style="51" customWidth="1"/>
    <col min="14855" max="14855" width="5.5703125" style="51" customWidth="1"/>
    <col min="14856" max="14858" width="11" style="51" customWidth="1"/>
    <col min="14859" max="14859" width="15.28515625" style="51" customWidth="1"/>
    <col min="14860" max="14860" width="1" style="51" customWidth="1"/>
    <col min="14861" max="14861" width="20" style="51" customWidth="1"/>
    <col min="14862" max="14862" width="2.85546875" style="51" customWidth="1"/>
    <col min="14863" max="14863" width="5.5703125" style="51" customWidth="1"/>
    <col min="14864" max="14864" width="4.5703125" style="51" customWidth="1"/>
    <col min="14865" max="14865" width="5.5703125" style="51" customWidth="1"/>
    <col min="14866" max="14867" width="11" style="51" customWidth="1"/>
    <col min="14868" max="14868" width="11.28515625" style="51" customWidth="1"/>
    <col min="14869" max="14869" width="15.28515625" style="51" customWidth="1"/>
    <col min="14870" max="14870" width="0.42578125" style="51" customWidth="1"/>
    <col min="14871" max="14872" width="11.42578125" style="51"/>
    <col min="14873" max="14873" width="6.85546875" style="51" customWidth="1"/>
    <col min="14874" max="15105" width="11.42578125" style="51"/>
    <col min="15106" max="15106" width="10.140625" style="51" customWidth="1"/>
    <col min="15107" max="15107" width="20" style="51" customWidth="1"/>
    <col min="15108" max="15108" width="2.85546875" style="51" customWidth="1"/>
    <col min="15109" max="15110" width="4.5703125" style="51" customWidth="1"/>
    <col min="15111" max="15111" width="5.5703125" style="51" customWidth="1"/>
    <col min="15112" max="15114" width="11" style="51" customWidth="1"/>
    <col min="15115" max="15115" width="15.28515625" style="51" customWidth="1"/>
    <col min="15116" max="15116" width="1" style="51" customWidth="1"/>
    <col min="15117" max="15117" width="20" style="51" customWidth="1"/>
    <col min="15118" max="15118" width="2.85546875" style="51" customWidth="1"/>
    <col min="15119" max="15119" width="5.5703125" style="51" customWidth="1"/>
    <col min="15120" max="15120" width="4.5703125" style="51" customWidth="1"/>
    <col min="15121" max="15121" width="5.5703125" style="51" customWidth="1"/>
    <col min="15122" max="15123" width="11" style="51" customWidth="1"/>
    <col min="15124" max="15124" width="11.28515625" style="51" customWidth="1"/>
    <col min="15125" max="15125" width="15.28515625" style="51" customWidth="1"/>
    <col min="15126" max="15126" width="0.42578125" style="51" customWidth="1"/>
    <col min="15127" max="15128" width="11.42578125" style="51"/>
    <col min="15129" max="15129" width="6.85546875" style="51" customWidth="1"/>
    <col min="15130" max="15361" width="11.42578125" style="51"/>
    <col min="15362" max="15362" width="10.140625" style="51" customWidth="1"/>
    <col min="15363" max="15363" width="20" style="51" customWidth="1"/>
    <col min="15364" max="15364" width="2.85546875" style="51" customWidth="1"/>
    <col min="15365" max="15366" width="4.5703125" style="51" customWidth="1"/>
    <col min="15367" max="15367" width="5.5703125" style="51" customWidth="1"/>
    <col min="15368" max="15370" width="11" style="51" customWidth="1"/>
    <col min="15371" max="15371" width="15.28515625" style="51" customWidth="1"/>
    <col min="15372" max="15372" width="1" style="51" customWidth="1"/>
    <col min="15373" max="15373" width="20" style="51" customWidth="1"/>
    <col min="15374" max="15374" width="2.85546875" style="51" customWidth="1"/>
    <col min="15375" max="15375" width="5.5703125" style="51" customWidth="1"/>
    <col min="15376" max="15376" width="4.5703125" style="51" customWidth="1"/>
    <col min="15377" max="15377" width="5.5703125" style="51" customWidth="1"/>
    <col min="15378" max="15379" width="11" style="51" customWidth="1"/>
    <col min="15380" max="15380" width="11.28515625" style="51" customWidth="1"/>
    <col min="15381" max="15381" width="15.28515625" style="51" customWidth="1"/>
    <col min="15382" max="15382" width="0.42578125" style="51" customWidth="1"/>
    <col min="15383" max="15384" width="11.42578125" style="51"/>
    <col min="15385" max="15385" width="6.85546875" style="51" customWidth="1"/>
    <col min="15386" max="15617" width="11.42578125" style="51"/>
    <col min="15618" max="15618" width="10.140625" style="51" customWidth="1"/>
    <col min="15619" max="15619" width="20" style="51" customWidth="1"/>
    <col min="15620" max="15620" width="2.85546875" style="51" customWidth="1"/>
    <col min="15621" max="15622" width="4.5703125" style="51" customWidth="1"/>
    <col min="15623" max="15623" width="5.5703125" style="51" customWidth="1"/>
    <col min="15624" max="15626" width="11" style="51" customWidth="1"/>
    <col min="15627" max="15627" width="15.28515625" style="51" customWidth="1"/>
    <col min="15628" max="15628" width="1" style="51" customWidth="1"/>
    <col min="15629" max="15629" width="20" style="51" customWidth="1"/>
    <col min="15630" max="15630" width="2.85546875" style="51" customWidth="1"/>
    <col min="15631" max="15631" width="5.5703125" style="51" customWidth="1"/>
    <col min="15632" max="15632" width="4.5703125" style="51" customWidth="1"/>
    <col min="15633" max="15633" width="5.5703125" style="51" customWidth="1"/>
    <col min="15634" max="15635" width="11" style="51" customWidth="1"/>
    <col min="15636" max="15636" width="11.28515625" style="51" customWidth="1"/>
    <col min="15637" max="15637" width="15.28515625" style="51" customWidth="1"/>
    <col min="15638" max="15638" width="0.42578125" style="51" customWidth="1"/>
    <col min="15639" max="15640" width="11.42578125" style="51"/>
    <col min="15641" max="15641" width="6.85546875" style="51" customWidth="1"/>
    <col min="15642" max="15873" width="11.42578125" style="51"/>
    <col min="15874" max="15874" width="10.140625" style="51" customWidth="1"/>
    <col min="15875" max="15875" width="20" style="51" customWidth="1"/>
    <col min="15876" max="15876" width="2.85546875" style="51" customWidth="1"/>
    <col min="15877" max="15878" width="4.5703125" style="51" customWidth="1"/>
    <col min="15879" max="15879" width="5.5703125" style="51" customWidth="1"/>
    <col min="15880" max="15882" width="11" style="51" customWidth="1"/>
    <col min="15883" max="15883" width="15.28515625" style="51" customWidth="1"/>
    <col min="15884" max="15884" width="1" style="51" customWidth="1"/>
    <col min="15885" max="15885" width="20" style="51" customWidth="1"/>
    <col min="15886" max="15886" width="2.85546875" style="51" customWidth="1"/>
    <col min="15887" max="15887" width="5.5703125" style="51" customWidth="1"/>
    <col min="15888" max="15888" width="4.5703125" style="51" customWidth="1"/>
    <col min="15889" max="15889" width="5.5703125" style="51" customWidth="1"/>
    <col min="15890" max="15891" width="11" style="51" customWidth="1"/>
    <col min="15892" max="15892" width="11.28515625" style="51" customWidth="1"/>
    <col min="15893" max="15893" width="15.28515625" style="51" customWidth="1"/>
    <col min="15894" max="15894" width="0.42578125" style="51" customWidth="1"/>
    <col min="15895" max="15896" width="11.42578125" style="51"/>
    <col min="15897" max="15897" width="6.85546875" style="51" customWidth="1"/>
    <col min="15898" max="16129" width="11.42578125" style="51"/>
    <col min="16130" max="16130" width="10.140625" style="51" customWidth="1"/>
    <col min="16131" max="16131" width="20" style="51" customWidth="1"/>
    <col min="16132" max="16132" width="2.85546875" style="51" customWidth="1"/>
    <col min="16133" max="16134" width="4.5703125" style="51" customWidth="1"/>
    <col min="16135" max="16135" width="5.5703125" style="51" customWidth="1"/>
    <col min="16136" max="16138" width="11" style="51" customWidth="1"/>
    <col min="16139" max="16139" width="15.28515625" style="51" customWidth="1"/>
    <col min="16140" max="16140" width="1" style="51" customWidth="1"/>
    <col min="16141" max="16141" width="20" style="51" customWidth="1"/>
    <col min="16142" max="16142" width="2.85546875" style="51" customWidth="1"/>
    <col min="16143" max="16143" width="5.5703125" style="51" customWidth="1"/>
    <col min="16144" max="16144" width="4.5703125" style="51" customWidth="1"/>
    <col min="16145" max="16145" width="5.5703125" style="51" customWidth="1"/>
    <col min="16146" max="16147" width="11" style="51" customWidth="1"/>
    <col min="16148" max="16148" width="11.28515625" style="51" customWidth="1"/>
    <col min="16149" max="16149" width="15.28515625" style="51" customWidth="1"/>
    <col min="16150" max="16150" width="0.42578125" style="51" customWidth="1"/>
    <col min="16151" max="16152" width="11.42578125" style="51"/>
    <col min="16153" max="16153" width="6.85546875" style="51" customWidth="1"/>
    <col min="16154" max="16384" width="11.42578125" style="51"/>
  </cols>
  <sheetData>
    <row r="1" spans="2:31" ht="21.75" thickBot="1" x14ac:dyDescent="0.3">
      <c r="C1" s="164" t="s">
        <v>92</v>
      </c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</row>
    <row r="2" spans="2:31" ht="29.25" thickBot="1" x14ac:dyDescent="0.3">
      <c r="C2" s="48" t="s">
        <v>0</v>
      </c>
      <c r="D2" s="52"/>
      <c r="E2" s="53">
        <v>7</v>
      </c>
      <c r="F2" s="54"/>
      <c r="G2" s="55"/>
      <c r="H2" s="55"/>
      <c r="I2" s="56"/>
      <c r="J2" s="56"/>
      <c r="K2" s="56"/>
      <c r="L2" s="57"/>
      <c r="M2" s="56"/>
      <c r="N2" s="58"/>
      <c r="O2" s="58"/>
      <c r="P2" s="58"/>
      <c r="Q2" s="56"/>
      <c r="R2" s="59" t="s">
        <v>93</v>
      </c>
      <c r="S2" s="59"/>
      <c r="T2" s="60">
        <v>15</v>
      </c>
      <c r="U2" s="56"/>
    </row>
    <row r="3" spans="2:31" ht="19.5" thickBot="1" x14ac:dyDescent="0.3">
      <c r="C3" s="48" t="s">
        <v>1</v>
      </c>
      <c r="D3" s="61"/>
      <c r="E3" s="62"/>
      <c r="F3" s="63"/>
      <c r="G3" s="64"/>
      <c r="H3" s="65">
        <v>46309</v>
      </c>
      <c r="I3" s="56"/>
      <c r="J3" s="56"/>
      <c r="K3" s="56"/>
      <c r="L3" s="57"/>
      <c r="M3" s="56"/>
      <c r="N3" s="58"/>
      <c r="O3" s="58"/>
      <c r="P3" s="58"/>
      <c r="Q3" s="56"/>
      <c r="R3" s="59" t="s">
        <v>94</v>
      </c>
      <c r="S3" s="59"/>
      <c r="T3" s="60">
        <v>7.5</v>
      </c>
      <c r="U3" s="56"/>
    </row>
    <row r="4" spans="2:31" ht="32.25" thickBot="1" x14ac:dyDescent="0.3">
      <c r="C4" s="48" t="s">
        <v>95</v>
      </c>
      <c r="D4" s="52"/>
      <c r="E4" s="66">
        <v>1</v>
      </c>
      <c r="F4" s="67"/>
      <c r="G4" s="56"/>
      <c r="H4" s="56"/>
      <c r="I4" s="56"/>
      <c r="J4" s="56"/>
      <c r="K4" s="56"/>
      <c r="L4" s="57"/>
      <c r="M4" s="68" t="s">
        <v>95</v>
      </c>
      <c r="N4" s="69"/>
      <c r="O4" s="70">
        <v>2</v>
      </c>
      <c r="P4" s="71"/>
      <c r="Q4" s="56"/>
      <c r="R4" s="56"/>
      <c r="S4" s="56"/>
      <c r="T4" s="56"/>
      <c r="U4" s="56"/>
    </row>
    <row r="5" spans="2:31" ht="32.25" thickBot="1" x14ac:dyDescent="0.3">
      <c r="C5" s="48" t="s">
        <v>96</v>
      </c>
      <c r="D5" s="61"/>
      <c r="E5" s="72"/>
      <c r="F5" s="73"/>
      <c r="G5" s="70" t="s">
        <v>30</v>
      </c>
      <c r="H5" s="70"/>
      <c r="I5" s="74"/>
      <c r="J5" s="74"/>
      <c r="K5" s="75"/>
      <c r="L5" s="57"/>
      <c r="M5" s="68" t="s">
        <v>96</v>
      </c>
      <c r="N5" s="69"/>
      <c r="O5" s="73"/>
      <c r="P5" s="73"/>
      <c r="Q5" s="74"/>
      <c r="R5" s="70" t="s">
        <v>88</v>
      </c>
      <c r="S5" s="74"/>
      <c r="T5" s="74"/>
      <c r="U5" s="75"/>
    </row>
    <row r="6" spans="2:31" ht="21" x14ac:dyDescent="0.25">
      <c r="C6" s="76" t="s">
        <v>97</v>
      </c>
      <c r="D6" s="77"/>
      <c r="E6" s="78"/>
      <c r="F6" s="79"/>
      <c r="G6" s="165"/>
      <c r="H6" s="165"/>
      <c r="I6" s="165"/>
      <c r="J6" s="165"/>
      <c r="K6" s="165"/>
      <c r="L6" s="80"/>
      <c r="M6" s="76" t="s">
        <v>97</v>
      </c>
      <c r="N6" s="79"/>
      <c r="O6" s="81"/>
      <c r="P6" s="79"/>
      <c r="Q6" s="165"/>
      <c r="R6" s="165"/>
      <c r="S6" s="165"/>
      <c r="T6" s="165"/>
      <c r="U6" s="165"/>
    </row>
    <row r="7" spans="2:31" ht="33" x14ac:dyDescent="0.25">
      <c r="C7" s="82" t="s">
        <v>98</v>
      </c>
      <c r="D7" s="83" t="s">
        <v>99</v>
      </c>
      <c r="E7" s="84" t="s">
        <v>100</v>
      </c>
      <c r="F7" s="85" t="s">
        <v>101</v>
      </c>
      <c r="G7" s="86" t="s">
        <v>102</v>
      </c>
      <c r="H7" s="87" t="s">
        <v>103</v>
      </c>
      <c r="I7" s="87" t="s">
        <v>104</v>
      </c>
      <c r="J7" s="87" t="s">
        <v>105</v>
      </c>
      <c r="K7" s="87" t="s">
        <v>106</v>
      </c>
      <c r="L7" s="56" t="s">
        <v>107</v>
      </c>
      <c r="M7" s="82" t="s">
        <v>98</v>
      </c>
      <c r="N7" s="83" t="s">
        <v>99</v>
      </c>
      <c r="O7" s="84" t="s">
        <v>100</v>
      </c>
      <c r="P7" s="85" t="s">
        <v>101</v>
      </c>
      <c r="Q7" s="86" t="s">
        <v>102</v>
      </c>
      <c r="R7" s="87" t="s">
        <v>103</v>
      </c>
      <c r="S7" s="87" t="s">
        <v>104</v>
      </c>
      <c r="T7" s="87" t="s">
        <v>105</v>
      </c>
      <c r="U7" s="87" t="s">
        <v>106</v>
      </c>
      <c r="V7" s="56" t="s">
        <v>107</v>
      </c>
      <c r="AB7" s="86"/>
      <c r="AC7" s="88"/>
      <c r="AD7" s="85"/>
      <c r="AE7" s="89"/>
    </row>
    <row r="8" spans="2:31" ht="31.5" x14ac:dyDescent="0.25">
      <c r="B8" s="90"/>
      <c r="C8" s="91" t="s">
        <v>32</v>
      </c>
      <c r="D8" s="122">
        <v>148</v>
      </c>
      <c r="E8" s="93">
        <v>42</v>
      </c>
      <c r="F8" s="94">
        <v>15</v>
      </c>
      <c r="G8" s="90"/>
      <c r="H8" s="90"/>
      <c r="I8" s="90"/>
      <c r="J8" s="90"/>
      <c r="K8" s="90"/>
      <c r="L8" s="90"/>
      <c r="M8" s="91" t="s">
        <v>19</v>
      </c>
      <c r="N8" s="92">
        <v>173</v>
      </c>
      <c r="O8" s="93">
        <v>22</v>
      </c>
      <c r="P8" s="94">
        <v>15</v>
      </c>
      <c r="Q8" s="90"/>
      <c r="R8" s="90"/>
      <c r="S8" s="90"/>
      <c r="T8" s="90"/>
      <c r="U8" s="90"/>
      <c r="V8" s="90"/>
    </row>
    <row r="9" spans="2:31" ht="31.5" x14ac:dyDescent="0.25">
      <c r="B9" s="90"/>
      <c r="C9" s="96" t="s">
        <v>34</v>
      </c>
      <c r="D9" s="123">
        <v>167</v>
      </c>
      <c r="E9" s="124">
        <v>26</v>
      </c>
      <c r="F9" s="98">
        <v>9</v>
      </c>
      <c r="G9" s="90"/>
      <c r="H9" s="90"/>
      <c r="I9" s="90"/>
      <c r="J9" s="90"/>
      <c r="K9" s="90"/>
      <c r="L9" s="90"/>
      <c r="M9" s="91" t="s">
        <v>16</v>
      </c>
      <c r="N9" s="92">
        <v>165</v>
      </c>
      <c r="O9" s="93">
        <v>28</v>
      </c>
      <c r="P9" s="94">
        <v>15</v>
      </c>
      <c r="Q9" s="90"/>
      <c r="R9" s="90"/>
      <c r="S9" s="90"/>
      <c r="T9" s="90"/>
      <c r="U9" s="90"/>
      <c r="V9" s="90"/>
    </row>
    <row r="10" spans="2:31" ht="31.5" x14ac:dyDescent="0.25">
      <c r="B10" s="90"/>
      <c r="C10" s="91" t="s">
        <v>31</v>
      </c>
      <c r="D10" s="122">
        <v>175</v>
      </c>
      <c r="E10" s="93">
        <v>20</v>
      </c>
      <c r="F10" s="94">
        <v>15</v>
      </c>
      <c r="G10" s="90"/>
      <c r="H10" s="90"/>
      <c r="I10" s="90"/>
      <c r="J10" s="90"/>
      <c r="K10" s="90"/>
      <c r="L10" s="90"/>
      <c r="M10" s="91" t="s">
        <v>20</v>
      </c>
      <c r="N10" s="92">
        <v>184</v>
      </c>
      <c r="O10" s="93">
        <v>13</v>
      </c>
      <c r="P10" s="94">
        <v>9</v>
      </c>
      <c r="Q10" s="90"/>
      <c r="R10" s="90"/>
      <c r="S10" s="90"/>
      <c r="T10" s="90"/>
      <c r="U10" s="90"/>
      <c r="V10" s="90"/>
    </row>
    <row r="11" spans="2:31" ht="31.5" x14ac:dyDescent="0.25">
      <c r="B11" s="90"/>
      <c r="C11" s="91" t="s">
        <v>33</v>
      </c>
      <c r="D11" s="122">
        <v>166</v>
      </c>
      <c r="E11" s="93">
        <v>27</v>
      </c>
      <c r="F11" s="94">
        <v>15</v>
      </c>
      <c r="G11" s="90"/>
      <c r="H11" s="90"/>
      <c r="I11" s="90"/>
      <c r="J11" s="90"/>
      <c r="K11" s="90"/>
      <c r="L11" s="90"/>
      <c r="M11" s="91" t="s">
        <v>18</v>
      </c>
      <c r="N11" s="92">
        <v>132</v>
      </c>
      <c r="O11" s="93">
        <v>54</v>
      </c>
      <c r="P11" s="94">
        <v>15</v>
      </c>
      <c r="Q11" s="90"/>
      <c r="R11" s="90"/>
      <c r="S11" s="90"/>
      <c r="T11" s="90"/>
      <c r="U11" s="90"/>
      <c r="V11" s="90"/>
    </row>
    <row r="12" spans="2:31" ht="31.5" x14ac:dyDescent="0.25">
      <c r="B12" s="90"/>
      <c r="C12" s="96" t="s">
        <v>219</v>
      </c>
      <c r="D12" s="104">
        <v>172</v>
      </c>
      <c r="E12" s="97">
        <v>22</v>
      </c>
      <c r="F12" s="98">
        <v>15</v>
      </c>
      <c r="G12" s="157"/>
      <c r="H12" s="90"/>
      <c r="I12" s="90"/>
      <c r="J12" s="90"/>
      <c r="K12" s="90"/>
      <c r="L12" s="90"/>
      <c r="M12" s="96" t="s">
        <v>14</v>
      </c>
      <c r="N12" s="104">
        <v>147</v>
      </c>
      <c r="O12" s="119">
        <v>42</v>
      </c>
      <c r="P12" s="98">
        <v>18</v>
      </c>
      <c r="Q12" s="90"/>
      <c r="R12" s="90"/>
      <c r="S12" s="90"/>
      <c r="T12" s="90"/>
      <c r="U12" s="90"/>
      <c r="V12" s="90"/>
    </row>
    <row r="13" spans="2:31" ht="31.5" x14ac:dyDescent="0.25">
      <c r="C13" s="96" t="s">
        <v>225</v>
      </c>
      <c r="D13" s="125">
        <v>116</v>
      </c>
      <c r="E13" s="126">
        <v>64</v>
      </c>
      <c r="F13" s="98">
        <v>3</v>
      </c>
      <c r="H13" s="90"/>
      <c r="I13" s="90"/>
      <c r="J13" s="90"/>
      <c r="K13" s="90"/>
      <c r="L13" s="95"/>
      <c r="M13" s="90"/>
      <c r="N13" s="104"/>
      <c r="O13" s="104"/>
      <c r="P13" s="104"/>
      <c r="Q13" s="90"/>
      <c r="R13" s="90"/>
      <c r="S13" s="90"/>
      <c r="T13" s="90"/>
      <c r="U13" s="90"/>
      <c r="V13" s="90"/>
    </row>
    <row r="14" spans="2:31" ht="31.5" x14ac:dyDescent="0.25">
      <c r="G14" s="96"/>
      <c r="H14" s="102"/>
      <c r="I14" s="102"/>
      <c r="J14" s="102"/>
      <c r="K14" s="102"/>
      <c r="L14" s="158"/>
      <c r="M14" s="102"/>
      <c r="N14" s="159"/>
      <c r="O14" s="159"/>
      <c r="P14" s="159"/>
      <c r="Q14" s="102"/>
      <c r="R14" s="102"/>
      <c r="S14" s="90"/>
      <c r="T14" s="90"/>
      <c r="U14" s="90"/>
      <c r="V14" s="90"/>
    </row>
    <row r="15" spans="2:31" ht="31.5" x14ac:dyDescent="0.25">
      <c r="G15" s="103" t="s">
        <v>109</v>
      </c>
      <c r="H15" s="90"/>
      <c r="I15" s="90"/>
      <c r="J15" s="90"/>
      <c r="K15" s="90"/>
      <c r="L15" s="95"/>
      <c r="M15" s="90"/>
      <c r="N15" s="104"/>
      <c r="O15" s="104"/>
      <c r="P15" s="104"/>
      <c r="Q15" s="90"/>
      <c r="R15" s="90"/>
      <c r="S15" s="102"/>
      <c r="T15" s="90"/>
      <c r="U15" s="90"/>
      <c r="V15" s="90"/>
    </row>
    <row r="16" spans="2:31" ht="19.5" thickBot="1" x14ac:dyDescent="0.3"/>
    <row r="17" spans="3:21" ht="31.5" x14ac:dyDescent="0.25">
      <c r="C17" s="106" t="s">
        <v>110</v>
      </c>
      <c r="H17" s="96"/>
      <c r="I17" s="96"/>
      <c r="J17" s="96"/>
      <c r="K17" s="96"/>
      <c r="M17" s="106" t="s">
        <v>110</v>
      </c>
      <c r="R17" s="96"/>
      <c r="S17" s="96"/>
      <c r="T17" s="96"/>
      <c r="U17" s="96"/>
    </row>
    <row r="18" spans="3:21" ht="31.5" x14ac:dyDescent="0.25">
      <c r="C18" s="107" t="s">
        <v>111</v>
      </c>
      <c r="H18" s="96"/>
      <c r="I18" s="96"/>
      <c r="J18" s="96"/>
      <c r="K18" s="96"/>
      <c r="M18" s="107" t="s">
        <v>111</v>
      </c>
      <c r="R18" s="96"/>
      <c r="S18" s="96"/>
      <c r="T18" s="96"/>
      <c r="U18" s="96"/>
    </row>
    <row r="19" spans="3:21" ht="31.5" x14ac:dyDescent="0.25">
      <c r="C19" s="107" t="s">
        <v>112</v>
      </c>
      <c r="H19" s="108"/>
      <c r="I19" s="108"/>
      <c r="J19" s="96"/>
      <c r="K19" s="96"/>
      <c r="M19" s="107" t="s">
        <v>112</v>
      </c>
      <c r="R19" s="108"/>
      <c r="S19" s="108"/>
      <c r="T19" s="96"/>
      <c r="U19" s="96"/>
    </row>
    <row r="20" spans="3:21" ht="31.5" x14ac:dyDescent="0.25">
      <c r="C20" s="107" t="s">
        <v>113</v>
      </c>
      <c r="G20" s="109"/>
      <c r="H20" s="96"/>
      <c r="I20" s="96"/>
      <c r="J20" s="96"/>
      <c r="K20" s="96"/>
      <c r="M20" s="107" t="s">
        <v>113</v>
      </c>
      <c r="Q20" s="109"/>
      <c r="R20" s="96"/>
      <c r="S20" s="96"/>
      <c r="T20" s="96"/>
      <c r="U20" s="96"/>
    </row>
    <row r="21" spans="3:21" ht="31.5" x14ac:dyDescent="0.25">
      <c r="C21" s="107" t="s">
        <v>114</v>
      </c>
      <c r="H21" s="110"/>
      <c r="I21" s="110"/>
      <c r="J21" s="110"/>
      <c r="K21" s="96"/>
      <c r="M21" s="107" t="s">
        <v>114</v>
      </c>
      <c r="R21" s="110"/>
      <c r="S21" s="110"/>
      <c r="T21" s="110"/>
      <c r="U21" s="96"/>
    </row>
    <row r="22" spans="3:21" ht="19.5" thickBot="1" x14ac:dyDescent="0.3">
      <c r="C22" s="111" t="s">
        <v>115</v>
      </c>
      <c r="K22" s="90"/>
      <c r="M22" s="111" t="s">
        <v>115</v>
      </c>
      <c r="U22" s="90"/>
    </row>
    <row r="24" spans="3:21" x14ac:dyDescent="0.25">
      <c r="C24" s="51" t="s">
        <v>116</v>
      </c>
      <c r="G24" s="112"/>
      <c r="H24" s="112"/>
      <c r="I24" s="112"/>
      <c r="J24" s="112"/>
      <c r="K24" s="112"/>
      <c r="M24" s="51" t="s">
        <v>116</v>
      </c>
      <c r="Q24" s="112"/>
      <c r="R24" s="112"/>
      <c r="S24" s="112"/>
      <c r="T24" s="112"/>
      <c r="U24" s="112"/>
    </row>
    <row r="26" spans="3:21" x14ac:dyDescent="0.25">
      <c r="C26" s="113" t="s">
        <v>117</v>
      </c>
      <c r="D26" s="114"/>
      <c r="E26" s="114"/>
      <c r="F26" s="115"/>
      <c r="G26" s="113"/>
      <c r="H26" s="113"/>
      <c r="I26" s="113"/>
      <c r="J26" s="113"/>
      <c r="K26" s="113"/>
      <c r="L26" s="116"/>
      <c r="M26" s="113"/>
      <c r="N26" s="115"/>
      <c r="O26" s="115"/>
      <c r="P26" s="115"/>
      <c r="Q26" s="113"/>
      <c r="R26" s="113"/>
      <c r="S26" s="113"/>
      <c r="T26" s="113"/>
    </row>
    <row r="27" spans="3:21" x14ac:dyDescent="0.25">
      <c r="C27" s="113"/>
      <c r="D27" s="114"/>
      <c r="E27" s="114"/>
      <c r="F27" s="115"/>
      <c r="G27" s="113"/>
      <c r="H27" s="113"/>
      <c r="I27" s="113"/>
      <c r="J27" s="113"/>
      <c r="K27" s="113"/>
      <c r="L27" s="116"/>
      <c r="M27" s="113"/>
      <c r="N27" s="115"/>
      <c r="O27" s="115"/>
      <c r="P27" s="115"/>
      <c r="Q27" s="113"/>
      <c r="R27" s="113"/>
      <c r="S27" s="113"/>
      <c r="T27" s="113"/>
    </row>
    <row r="28" spans="3:21" ht="21" x14ac:dyDescent="0.25">
      <c r="C28" s="117" t="s">
        <v>118</v>
      </c>
      <c r="D28" s="118"/>
      <c r="E28" s="118">
        <v>1</v>
      </c>
      <c r="F28" s="117" t="s">
        <v>119</v>
      </c>
      <c r="G28" s="117"/>
      <c r="M28" s="117" t="s">
        <v>120</v>
      </c>
      <c r="N28" s="117"/>
      <c r="O28" s="117">
        <v>4</v>
      </c>
      <c r="P28" s="117" t="s">
        <v>119</v>
      </c>
      <c r="Q28" s="117"/>
    </row>
    <row r="29" spans="3:21" ht="21" x14ac:dyDescent="0.25">
      <c r="C29" s="117" t="s">
        <v>121</v>
      </c>
      <c r="D29" s="118"/>
      <c r="E29" s="118">
        <v>2</v>
      </c>
      <c r="F29" s="117" t="s">
        <v>82</v>
      </c>
      <c r="G29" s="117"/>
      <c r="M29" s="117" t="s">
        <v>122</v>
      </c>
      <c r="N29" s="117"/>
      <c r="O29" s="117">
        <v>5</v>
      </c>
      <c r="P29" s="117" t="s">
        <v>82</v>
      </c>
      <c r="Q29" s="117"/>
    </row>
    <row r="30" spans="3:21" ht="21" x14ac:dyDescent="0.25">
      <c r="C30" s="117" t="s">
        <v>123</v>
      </c>
      <c r="D30" s="118"/>
      <c r="E30" s="118">
        <v>3</v>
      </c>
      <c r="F30" s="117" t="s">
        <v>82</v>
      </c>
      <c r="G30" s="117"/>
      <c r="M30" s="117" t="s">
        <v>124</v>
      </c>
      <c r="N30" s="117"/>
      <c r="O30" s="117">
        <v>6</v>
      </c>
      <c r="P30" s="117" t="s">
        <v>82</v>
      </c>
      <c r="Q30" s="117"/>
    </row>
  </sheetData>
  <mergeCells count="3">
    <mergeCell ref="C1:S1"/>
    <mergeCell ref="G6:K6"/>
    <mergeCell ref="Q6:U6"/>
  </mergeCells>
  <pageMargins left="0.7" right="0.7" top="0.75" bottom="0.75" header="0.3" footer="0.3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29"/>
  <sheetViews>
    <sheetView workbookViewId="0">
      <selection activeCell="M16" sqref="M16"/>
    </sheetView>
  </sheetViews>
  <sheetFormatPr baseColWidth="10" defaultRowHeight="18.75" x14ac:dyDescent="0.25"/>
  <cols>
    <col min="1" max="1" width="2.28515625" style="51" customWidth="1"/>
    <col min="2" max="2" width="20" style="51" customWidth="1"/>
    <col min="3" max="3" width="6.42578125" style="100" customWidth="1"/>
    <col min="4" max="4" width="7.42578125" style="100" customWidth="1"/>
    <col min="5" max="5" width="6.42578125" style="101" customWidth="1"/>
    <col min="6" max="6" width="4" style="51" customWidth="1"/>
    <col min="7" max="9" width="12.140625" style="51" customWidth="1"/>
    <col min="10" max="10" width="15.28515625" style="51" customWidth="1"/>
    <col min="11" max="11" width="15.28515625" style="105" customWidth="1"/>
    <col min="12" max="12" width="20" style="51" customWidth="1"/>
    <col min="13" max="13" width="6.42578125" style="101" customWidth="1"/>
    <col min="14" max="14" width="7.42578125" style="101" customWidth="1"/>
    <col min="15" max="15" width="6.28515625" style="101" customWidth="1"/>
    <col min="16" max="16" width="4" style="51" customWidth="1"/>
    <col min="17" max="19" width="12.140625" style="51" customWidth="1"/>
    <col min="20" max="21" width="15.28515625" style="51" customWidth="1"/>
    <col min="22" max="23" width="11.42578125" style="51"/>
    <col min="24" max="24" width="6.85546875" style="51" customWidth="1"/>
    <col min="25" max="256" width="11.42578125" style="51"/>
    <col min="257" max="257" width="10.140625" style="51" customWidth="1"/>
    <col min="258" max="258" width="20" style="51" customWidth="1"/>
    <col min="259" max="259" width="2.85546875" style="51" customWidth="1"/>
    <col min="260" max="261" width="4.5703125" style="51" customWidth="1"/>
    <col min="262" max="262" width="5.5703125" style="51" customWidth="1"/>
    <col min="263" max="265" width="11" style="51" customWidth="1"/>
    <col min="266" max="266" width="15.28515625" style="51" customWidth="1"/>
    <col min="267" max="267" width="1" style="51" customWidth="1"/>
    <col min="268" max="268" width="20" style="51" customWidth="1"/>
    <col min="269" max="269" width="2.85546875" style="51" customWidth="1"/>
    <col min="270" max="270" width="5.5703125" style="51" customWidth="1"/>
    <col min="271" max="271" width="4.5703125" style="51" customWidth="1"/>
    <col min="272" max="272" width="5.5703125" style="51" customWidth="1"/>
    <col min="273" max="274" width="11" style="51" customWidth="1"/>
    <col min="275" max="275" width="11.28515625" style="51" customWidth="1"/>
    <col min="276" max="276" width="15.28515625" style="51" customWidth="1"/>
    <col min="277" max="277" width="0.42578125" style="51" customWidth="1"/>
    <col min="278" max="279" width="11.42578125" style="51"/>
    <col min="280" max="280" width="6.85546875" style="51" customWidth="1"/>
    <col min="281" max="512" width="11.42578125" style="51"/>
    <col min="513" max="513" width="10.140625" style="51" customWidth="1"/>
    <col min="514" max="514" width="20" style="51" customWidth="1"/>
    <col min="515" max="515" width="2.85546875" style="51" customWidth="1"/>
    <col min="516" max="517" width="4.5703125" style="51" customWidth="1"/>
    <col min="518" max="518" width="5.5703125" style="51" customWidth="1"/>
    <col min="519" max="521" width="11" style="51" customWidth="1"/>
    <col min="522" max="522" width="15.28515625" style="51" customWidth="1"/>
    <col min="523" max="523" width="1" style="51" customWidth="1"/>
    <col min="524" max="524" width="20" style="51" customWidth="1"/>
    <col min="525" max="525" width="2.85546875" style="51" customWidth="1"/>
    <col min="526" max="526" width="5.5703125" style="51" customWidth="1"/>
    <col min="527" max="527" width="4.5703125" style="51" customWidth="1"/>
    <col min="528" max="528" width="5.5703125" style="51" customWidth="1"/>
    <col min="529" max="530" width="11" style="51" customWidth="1"/>
    <col min="531" max="531" width="11.28515625" style="51" customWidth="1"/>
    <col min="532" max="532" width="15.28515625" style="51" customWidth="1"/>
    <col min="533" max="533" width="0.42578125" style="51" customWidth="1"/>
    <col min="534" max="535" width="11.42578125" style="51"/>
    <col min="536" max="536" width="6.85546875" style="51" customWidth="1"/>
    <col min="537" max="768" width="11.42578125" style="51"/>
    <col min="769" max="769" width="10.140625" style="51" customWidth="1"/>
    <col min="770" max="770" width="20" style="51" customWidth="1"/>
    <col min="771" max="771" width="2.85546875" style="51" customWidth="1"/>
    <col min="772" max="773" width="4.5703125" style="51" customWidth="1"/>
    <col min="774" max="774" width="5.5703125" style="51" customWidth="1"/>
    <col min="775" max="777" width="11" style="51" customWidth="1"/>
    <col min="778" max="778" width="15.28515625" style="51" customWidth="1"/>
    <col min="779" max="779" width="1" style="51" customWidth="1"/>
    <col min="780" max="780" width="20" style="51" customWidth="1"/>
    <col min="781" max="781" width="2.85546875" style="51" customWidth="1"/>
    <col min="782" max="782" width="5.5703125" style="51" customWidth="1"/>
    <col min="783" max="783" width="4.5703125" style="51" customWidth="1"/>
    <col min="784" max="784" width="5.5703125" style="51" customWidth="1"/>
    <col min="785" max="786" width="11" style="51" customWidth="1"/>
    <col min="787" max="787" width="11.28515625" style="51" customWidth="1"/>
    <col min="788" max="788" width="15.28515625" style="51" customWidth="1"/>
    <col min="789" max="789" width="0.42578125" style="51" customWidth="1"/>
    <col min="790" max="791" width="11.42578125" style="51"/>
    <col min="792" max="792" width="6.85546875" style="51" customWidth="1"/>
    <col min="793" max="1024" width="11.42578125" style="51"/>
    <col min="1025" max="1025" width="10.140625" style="51" customWidth="1"/>
    <col min="1026" max="1026" width="20" style="51" customWidth="1"/>
    <col min="1027" max="1027" width="2.85546875" style="51" customWidth="1"/>
    <col min="1028" max="1029" width="4.5703125" style="51" customWidth="1"/>
    <col min="1030" max="1030" width="5.5703125" style="51" customWidth="1"/>
    <col min="1031" max="1033" width="11" style="51" customWidth="1"/>
    <col min="1034" max="1034" width="15.28515625" style="51" customWidth="1"/>
    <col min="1035" max="1035" width="1" style="51" customWidth="1"/>
    <col min="1036" max="1036" width="20" style="51" customWidth="1"/>
    <col min="1037" max="1037" width="2.85546875" style="51" customWidth="1"/>
    <col min="1038" max="1038" width="5.5703125" style="51" customWidth="1"/>
    <col min="1039" max="1039" width="4.5703125" style="51" customWidth="1"/>
    <col min="1040" max="1040" width="5.5703125" style="51" customWidth="1"/>
    <col min="1041" max="1042" width="11" style="51" customWidth="1"/>
    <col min="1043" max="1043" width="11.28515625" style="51" customWidth="1"/>
    <col min="1044" max="1044" width="15.28515625" style="51" customWidth="1"/>
    <col min="1045" max="1045" width="0.42578125" style="51" customWidth="1"/>
    <col min="1046" max="1047" width="11.42578125" style="51"/>
    <col min="1048" max="1048" width="6.85546875" style="51" customWidth="1"/>
    <col min="1049" max="1280" width="11.42578125" style="51"/>
    <col min="1281" max="1281" width="10.140625" style="51" customWidth="1"/>
    <col min="1282" max="1282" width="20" style="51" customWidth="1"/>
    <col min="1283" max="1283" width="2.85546875" style="51" customWidth="1"/>
    <col min="1284" max="1285" width="4.5703125" style="51" customWidth="1"/>
    <col min="1286" max="1286" width="5.5703125" style="51" customWidth="1"/>
    <col min="1287" max="1289" width="11" style="51" customWidth="1"/>
    <col min="1290" max="1290" width="15.28515625" style="51" customWidth="1"/>
    <col min="1291" max="1291" width="1" style="51" customWidth="1"/>
    <col min="1292" max="1292" width="20" style="51" customWidth="1"/>
    <col min="1293" max="1293" width="2.85546875" style="51" customWidth="1"/>
    <col min="1294" max="1294" width="5.5703125" style="51" customWidth="1"/>
    <col min="1295" max="1295" width="4.5703125" style="51" customWidth="1"/>
    <col min="1296" max="1296" width="5.5703125" style="51" customWidth="1"/>
    <col min="1297" max="1298" width="11" style="51" customWidth="1"/>
    <col min="1299" max="1299" width="11.28515625" style="51" customWidth="1"/>
    <col min="1300" max="1300" width="15.28515625" style="51" customWidth="1"/>
    <col min="1301" max="1301" width="0.42578125" style="51" customWidth="1"/>
    <col min="1302" max="1303" width="11.42578125" style="51"/>
    <col min="1304" max="1304" width="6.85546875" style="51" customWidth="1"/>
    <col min="1305" max="1536" width="11.42578125" style="51"/>
    <col min="1537" max="1537" width="10.140625" style="51" customWidth="1"/>
    <col min="1538" max="1538" width="20" style="51" customWidth="1"/>
    <col min="1539" max="1539" width="2.85546875" style="51" customWidth="1"/>
    <col min="1540" max="1541" width="4.5703125" style="51" customWidth="1"/>
    <col min="1542" max="1542" width="5.5703125" style="51" customWidth="1"/>
    <col min="1543" max="1545" width="11" style="51" customWidth="1"/>
    <col min="1546" max="1546" width="15.28515625" style="51" customWidth="1"/>
    <col min="1547" max="1547" width="1" style="51" customWidth="1"/>
    <col min="1548" max="1548" width="20" style="51" customWidth="1"/>
    <col min="1549" max="1549" width="2.85546875" style="51" customWidth="1"/>
    <col min="1550" max="1550" width="5.5703125" style="51" customWidth="1"/>
    <col min="1551" max="1551" width="4.5703125" style="51" customWidth="1"/>
    <col min="1552" max="1552" width="5.5703125" style="51" customWidth="1"/>
    <col min="1553" max="1554" width="11" style="51" customWidth="1"/>
    <col min="1555" max="1555" width="11.28515625" style="51" customWidth="1"/>
    <col min="1556" max="1556" width="15.28515625" style="51" customWidth="1"/>
    <col min="1557" max="1557" width="0.42578125" style="51" customWidth="1"/>
    <col min="1558" max="1559" width="11.42578125" style="51"/>
    <col min="1560" max="1560" width="6.85546875" style="51" customWidth="1"/>
    <col min="1561" max="1792" width="11.42578125" style="51"/>
    <col min="1793" max="1793" width="10.140625" style="51" customWidth="1"/>
    <col min="1794" max="1794" width="20" style="51" customWidth="1"/>
    <col min="1795" max="1795" width="2.85546875" style="51" customWidth="1"/>
    <col min="1796" max="1797" width="4.5703125" style="51" customWidth="1"/>
    <col min="1798" max="1798" width="5.5703125" style="51" customWidth="1"/>
    <col min="1799" max="1801" width="11" style="51" customWidth="1"/>
    <col min="1802" max="1802" width="15.28515625" style="51" customWidth="1"/>
    <col min="1803" max="1803" width="1" style="51" customWidth="1"/>
    <col min="1804" max="1804" width="20" style="51" customWidth="1"/>
    <col min="1805" max="1805" width="2.85546875" style="51" customWidth="1"/>
    <col min="1806" max="1806" width="5.5703125" style="51" customWidth="1"/>
    <col min="1807" max="1807" width="4.5703125" style="51" customWidth="1"/>
    <col min="1808" max="1808" width="5.5703125" style="51" customWidth="1"/>
    <col min="1809" max="1810" width="11" style="51" customWidth="1"/>
    <col min="1811" max="1811" width="11.28515625" style="51" customWidth="1"/>
    <col min="1812" max="1812" width="15.28515625" style="51" customWidth="1"/>
    <col min="1813" max="1813" width="0.42578125" style="51" customWidth="1"/>
    <col min="1814" max="1815" width="11.42578125" style="51"/>
    <col min="1816" max="1816" width="6.85546875" style="51" customWidth="1"/>
    <col min="1817" max="2048" width="11.42578125" style="51"/>
    <col min="2049" max="2049" width="10.140625" style="51" customWidth="1"/>
    <col min="2050" max="2050" width="20" style="51" customWidth="1"/>
    <col min="2051" max="2051" width="2.85546875" style="51" customWidth="1"/>
    <col min="2052" max="2053" width="4.5703125" style="51" customWidth="1"/>
    <col min="2054" max="2054" width="5.5703125" style="51" customWidth="1"/>
    <col min="2055" max="2057" width="11" style="51" customWidth="1"/>
    <col min="2058" max="2058" width="15.28515625" style="51" customWidth="1"/>
    <col min="2059" max="2059" width="1" style="51" customWidth="1"/>
    <col min="2060" max="2060" width="20" style="51" customWidth="1"/>
    <col min="2061" max="2061" width="2.85546875" style="51" customWidth="1"/>
    <col min="2062" max="2062" width="5.5703125" style="51" customWidth="1"/>
    <col min="2063" max="2063" width="4.5703125" style="51" customWidth="1"/>
    <col min="2064" max="2064" width="5.5703125" style="51" customWidth="1"/>
    <col min="2065" max="2066" width="11" style="51" customWidth="1"/>
    <col min="2067" max="2067" width="11.28515625" style="51" customWidth="1"/>
    <col min="2068" max="2068" width="15.28515625" style="51" customWidth="1"/>
    <col min="2069" max="2069" width="0.42578125" style="51" customWidth="1"/>
    <col min="2070" max="2071" width="11.42578125" style="51"/>
    <col min="2072" max="2072" width="6.85546875" style="51" customWidth="1"/>
    <col min="2073" max="2304" width="11.42578125" style="51"/>
    <col min="2305" max="2305" width="10.140625" style="51" customWidth="1"/>
    <col min="2306" max="2306" width="20" style="51" customWidth="1"/>
    <col min="2307" max="2307" width="2.85546875" style="51" customWidth="1"/>
    <col min="2308" max="2309" width="4.5703125" style="51" customWidth="1"/>
    <col min="2310" max="2310" width="5.5703125" style="51" customWidth="1"/>
    <col min="2311" max="2313" width="11" style="51" customWidth="1"/>
    <col min="2314" max="2314" width="15.28515625" style="51" customWidth="1"/>
    <col min="2315" max="2315" width="1" style="51" customWidth="1"/>
    <col min="2316" max="2316" width="20" style="51" customWidth="1"/>
    <col min="2317" max="2317" width="2.85546875" style="51" customWidth="1"/>
    <col min="2318" max="2318" width="5.5703125" style="51" customWidth="1"/>
    <col min="2319" max="2319" width="4.5703125" style="51" customWidth="1"/>
    <col min="2320" max="2320" width="5.5703125" style="51" customWidth="1"/>
    <col min="2321" max="2322" width="11" style="51" customWidth="1"/>
    <col min="2323" max="2323" width="11.28515625" style="51" customWidth="1"/>
    <col min="2324" max="2324" width="15.28515625" style="51" customWidth="1"/>
    <col min="2325" max="2325" width="0.42578125" style="51" customWidth="1"/>
    <col min="2326" max="2327" width="11.42578125" style="51"/>
    <col min="2328" max="2328" width="6.85546875" style="51" customWidth="1"/>
    <col min="2329" max="2560" width="11.42578125" style="51"/>
    <col min="2561" max="2561" width="10.140625" style="51" customWidth="1"/>
    <col min="2562" max="2562" width="20" style="51" customWidth="1"/>
    <col min="2563" max="2563" width="2.85546875" style="51" customWidth="1"/>
    <col min="2564" max="2565" width="4.5703125" style="51" customWidth="1"/>
    <col min="2566" max="2566" width="5.5703125" style="51" customWidth="1"/>
    <col min="2567" max="2569" width="11" style="51" customWidth="1"/>
    <col min="2570" max="2570" width="15.28515625" style="51" customWidth="1"/>
    <col min="2571" max="2571" width="1" style="51" customWidth="1"/>
    <col min="2572" max="2572" width="20" style="51" customWidth="1"/>
    <col min="2573" max="2573" width="2.85546875" style="51" customWidth="1"/>
    <col min="2574" max="2574" width="5.5703125" style="51" customWidth="1"/>
    <col min="2575" max="2575" width="4.5703125" style="51" customWidth="1"/>
    <col min="2576" max="2576" width="5.5703125" style="51" customWidth="1"/>
    <col min="2577" max="2578" width="11" style="51" customWidth="1"/>
    <col min="2579" max="2579" width="11.28515625" style="51" customWidth="1"/>
    <col min="2580" max="2580" width="15.28515625" style="51" customWidth="1"/>
    <col min="2581" max="2581" width="0.42578125" style="51" customWidth="1"/>
    <col min="2582" max="2583" width="11.42578125" style="51"/>
    <col min="2584" max="2584" width="6.85546875" style="51" customWidth="1"/>
    <col min="2585" max="2816" width="11.42578125" style="51"/>
    <col min="2817" max="2817" width="10.140625" style="51" customWidth="1"/>
    <col min="2818" max="2818" width="20" style="51" customWidth="1"/>
    <col min="2819" max="2819" width="2.85546875" style="51" customWidth="1"/>
    <col min="2820" max="2821" width="4.5703125" style="51" customWidth="1"/>
    <col min="2822" max="2822" width="5.5703125" style="51" customWidth="1"/>
    <col min="2823" max="2825" width="11" style="51" customWidth="1"/>
    <col min="2826" max="2826" width="15.28515625" style="51" customWidth="1"/>
    <col min="2827" max="2827" width="1" style="51" customWidth="1"/>
    <col min="2828" max="2828" width="20" style="51" customWidth="1"/>
    <col min="2829" max="2829" width="2.85546875" style="51" customWidth="1"/>
    <col min="2830" max="2830" width="5.5703125" style="51" customWidth="1"/>
    <col min="2831" max="2831" width="4.5703125" style="51" customWidth="1"/>
    <col min="2832" max="2832" width="5.5703125" style="51" customWidth="1"/>
    <col min="2833" max="2834" width="11" style="51" customWidth="1"/>
    <col min="2835" max="2835" width="11.28515625" style="51" customWidth="1"/>
    <col min="2836" max="2836" width="15.28515625" style="51" customWidth="1"/>
    <col min="2837" max="2837" width="0.42578125" style="51" customWidth="1"/>
    <col min="2838" max="2839" width="11.42578125" style="51"/>
    <col min="2840" max="2840" width="6.85546875" style="51" customWidth="1"/>
    <col min="2841" max="3072" width="11.42578125" style="51"/>
    <col min="3073" max="3073" width="10.140625" style="51" customWidth="1"/>
    <col min="3074" max="3074" width="20" style="51" customWidth="1"/>
    <col min="3075" max="3075" width="2.85546875" style="51" customWidth="1"/>
    <col min="3076" max="3077" width="4.5703125" style="51" customWidth="1"/>
    <col min="3078" max="3078" width="5.5703125" style="51" customWidth="1"/>
    <col min="3079" max="3081" width="11" style="51" customWidth="1"/>
    <col min="3082" max="3082" width="15.28515625" style="51" customWidth="1"/>
    <col min="3083" max="3083" width="1" style="51" customWidth="1"/>
    <col min="3084" max="3084" width="20" style="51" customWidth="1"/>
    <col min="3085" max="3085" width="2.85546875" style="51" customWidth="1"/>
    <col min="3086" max="3086" width="5.5703125" style="51" customWidth="1"/>
    <col min="3087" max="3087" width="4.5703125" style="51" customWidth="1"/>
    <col min="3088" max="3088" width="5.5703125" style="51" customWidth="1"/>
    <col min="3089" max="3090" width="11" style="51" customWidth="1"/>
    <col min="3091" max="3091" width="11.28515625" style="51" customWidth="1"/>
    <col min="3092" max="3092" width="15.28515625" style="51" customWidth="1"/>
    <col min="3093" max="3093" width="0.42578125" style="51" customWidth="1"/>
    <col min="3094" max="3095" width="11.42578125" style="51"/>
    <col min="3096" max="3096" width="6.85546875" style="51" customWidth="1"/>
    <col min="3097" max="3328" width="11.42578125" style="51"/>
    <col min="3329" max="3329" width="10.140625" style="51" customWidth="1"/>
    <col min="3330" max="3330" width="20" style="51" customWidth="1"/>
    <col min="3331" max="3331" width="2.85546875" style="51" customWidth="1"/>
    <col min="3332" max="3333" width="4.5703125" style="51" customWidth="1"/>
    <col min="3334" max="3334" width="5.5703125" style="51" customWidth="1"/>
    <col min="3335" max="3337" width="11" style="51" customWidth="1"/>
    <col min="3338" max="3338" width="15.28515625" style="51" customWidth="1"/>
    <col min="3339" max="3339" width="1" style="51" customWidth="1"/>
    <col min="3340" max="3340" width="20" style="51" customWidth="1"/>
    <col min="3341" max="3341" width="2.85546875" style="51" customWidth="1"/>
    <col min="3342" max="3342" width="5.5703125" style="51" customWidth="1"/>
    <col min="3343" max="3343" width="4.5703125" style="51" customWidth="1"/>
    <col min="3344" max="3344" width="5.5703125" style="51" customWidth="1"/>
    <col min="3345" max="3346" width="11" style="51" customWidth="1"/>
    <col min="3347" max="3347" width="11.28515625" style="51" customWidth="1"/>
    <col min="3348" max="3348" width="15.28515625" style="51" customWidth="1"/>
    <col min="3349" max="3349" width="0.42578125" style="51" customWidth="1"/>
    <col min="3350" max="3351" width="11.42578125" style="51"/>
    <col min="3352" max="3352" width="6.85546875" style="51" customWidth="1"/>
    <col min="3353" max="3584" width="11.42578125" style="51"/>
    <col min="3585" max="3585" width="10.140625" style="51" customWidth="1"/>
    <col min="3586" max="3586" width="20" style="51" customWidth="1"/>
    <col min="3587" max="3587" width="2.85546875" style="51" customWidth="1"/>
    <col min="3588" max="3589" width="4.5703125" style="51" customWidth="1"/>
    <col min="3590" max="3590" width="5.5703125" style="51" customWidth="1"/>
    <col min="3591" max="3593" width="11" style="51" customWidth="1"/>
    <col min="3594" max="3594" width="15.28515625" style="51" customWidth="1"/>
    <col min="3595" max="3595" width="1" style="51" customWidth="1"/>
    <col min="3596" max="3596" width="20" style="51" customWidth="1"/>
    <col min="3597" max="3597" width="2.85546875" style="51" customWidth="1"/>
    <col min="3598" max="3598" width="5.5703125" style="51" customWidth="1"/>
    <col min="3599" max="3599" width="4.5703125" style="51" customWidth="1"/>
    <col min="3600" max="3600" width="5.5703125" style="51" customWidth="1"/>
    <col min="3601" max="3602" width="11" style="51" customWidth="1"/>
    <col min="3603" max="3603" width="11.28515625" style="51" customWidth="1"/>
    <col min="3604" max="3604" width="15.28515625" style="51" customWidth="1"/>
    <col min="3605" max="3605" width="0.42578125" style="51" customWidth="1"/>
    <col min="3606" max="3607" width="11.42578125" style="51"/>
    <col min="3608" max="3608" width="6.85546875" style="51" customWidth="1"/>
    <col min="3609" max="3840" width="11.42578125" style="51"/>
    <col min="3841" max="3841" width="10.140625" style="51" customWidth="1"/>
    <col min="3842" max="3842" width="20" style="51" customWidth="1"/>
    <col min="3843" max="3843" width="2.85546875" style="51" customWidth="1"/>
    <col min="3844" max="3845" width="4.5703125" style="51" customWidth="1"/>
    <col min="3846" max="3846" width="5.5703125" style="51" customWidth="1"/>
    <col min="3847" max="3849" width="11" style="51" customWidth="1"/>
    <col min="3850" max="3850" width="15.28515625" style="51" customWidth="1"/>
    <col min="3851" max="3851" width="1" style="51" customWidth="1"/>
    <col min="3852" max="3852" width="20" style="51" customWidth="1"/>
    <col min="3853" max="3853" width="2.85546875" style="51" customWidth="1"/>
    <col min="3854" max="3854" width="5.5703125" style="51" customWidth="1"/>
    <col min="3855" max="3855" width="4.5703125" style="51" customWidth="1"/>
    <col min="3856" max="3856" width="5.5703125" style="51" customWidth="1"/>
    <col min="3857" max="3858" width="11" style="51" customWidth="1"/>
    <col min="3859" max="3859" width="11.28515625" style="51" customWidth="1"/>
    <col min="3860" max="3860" width="15.28515625" style="51" customWidth="1"/>
    <col min="3861" max="3861" width="0.42578125" style="51" customWidth="1"/>
    <col min="3862" max="3863" width="11.42578125" style="51"/>
    <col min="3864" max="3864" width="6.85546875" style="51" customWidth="1"/>
    <col min="3865" max="4096" width="11.42578125" style="51"/>
    <col min="4097" max="4097" width="10.140625" style="51" customWidth="1"/>
    <col min="4098" max="4098" width="20" style="51" customWidth="1"/>
    <col min="4099" max="4099" width="2.85546875" style="51" customWidth="1"/>
    <col min="4100" max="4101" width="4.5703125" style="51" customWidth="1"/>
    <col min="4102" max="4102" width="5.5703125" style="51" customWidth="1"/>
    <col min="4103" max="4105" width="11" style="51" customWidth="1"/>
    <col min="4106" max="4106" width="15.28515625" style="51" customWidth="1"/>
    <col min="4107" max="4107" width="1" style="51" customWidth="1"/>
    <col min="4108" max="4108" width="20" style="51" customWidth="1"/>
    <col min="4109" max="4109" width="2.85546875" style="51" customWidth="1"/>
    <col min="4110" max="4110" width="5.5703125" style="51" customWidth="1"/>
    <col min="4111" max="4111" width="4.5703125" style="51" customWidth="1"/>
    <col min="4112" max="4112" width="5.5703125" style="51" customWidth="1"/>
    <col min="4113" max="4114" width="11" style="51" customWidth="1"/>
    <col min="4115" max="4115" width="11.28515625" style="51" customWidth="1"/>
    <col min="4116" max="4116" width="15.28515625" style="51" customWidth="1"/>
    <col min="4117" max="4117" width="0.42578125" style="51" customWidth="1"/>
    <col min="4118" max="4119" width="11.42578125" style="51"/>
    <col min="4120" max="4120" width="6.85546875" style="51" customWidth="1"/>
    <col min="4121" max="4352" width="11.42578125" style="51"/>
    <col min="4353" max="4353" width="10.140625" style="51" customWidth="1"/>
    <col min="4354" max="4354" width="20" style="51" customWidth="1"/>
    <col min="4355" max="4355" width="2.85546875" style="51" customWidth="1"/>
    <col min="4356" max="4357" width="4.5703125" style="51" customWidth="1"/>
    <col min="4358" max="4358" width="5.5703125" style="51" customWidth="1"/>
    <col min="4359" max="4361" width="11" style="51" customWidth="1"/>
    <col min="4362" max="4362" width="15.28515625" style="51" customWidth="1"/>
    <col min="4363" max="4363" width="1" style="51" customWidth="1"/>
    <col min="4364" max="4364" width="20" style="51" customWidth="1"/>
    <col min="4365" max="4365" width="2.85546875" style="51" customWidth="1"/>
    <col min="4366" max="4366" width="5.5703125" style="51" customWidth="1"/>
    <col min="4367" max="4367" width="4.5703125" style="51" customWidth="1"/>
    <col min="4368" max="4368" width="5.5703125" style="51" customWidth="1"/>
    <col min="4369" max="4370" width="11" style="51" customWidth="1"/>
    <col min="4371" max="4371" width="11.28515625" style="51" customWidth="1"/>
    <col min="4372" max="4372" width="15.28515625" style="51" customWidth="1"/>
    <col min="4373" max="4373" width="0.42578125" style="51" customWidth="1"/>
    <col min="4374" max="4375" width="11.42578125" style="51"/>
    <col min="4376" max="4376" width="6.85546875" style="51" customWidth="1"/>
    <col min="4377" max="4608" width="11.42578125" style="51"/>
    <col min="4609" max="4609" width="10.140625" style="51" customWidth="1"/>
    <col min="4610" max="4610" width="20" style="51" customWidth="1"/>
    <col min="4611" max="4611" width="2.85546875" style="51" customWidth="1"/>
    <col min="4612" max="4613" width="4.5703125" style="51" customWidth="1"/>
    <col min="4614" max="4614" width="5.5703125" style="51" customWidth="1"/>
    <col min="4615" max="4617" width="11" style="51" customWidth="1"/>
    <col min="4618" max="4618" width="15.28515625" style="51" customWidth="1"/>
    <col min="4619" max="4619" width="1" style="51" customWidth="1"/>
    <col min="4620" max="4620" width="20" style="51" customWidth="1"/>
    <col min="4621" max="4621" width="2.85546875" style="51" customWidth="1"/>
    <col min="4622" max="4622" width="5.5703125" style="51" customWidth="1"/>
    <col min="4623" max="4623" width="4.5703125" style="51" customWidth="1"/>
    <col min="4624" max="4624" width="5.5703125" style="51" customWidth="1"/>
    <col min="4625" max="4626" width="11" style="51" customWidth="1"/>
    <col min="4627" max="4627" width="11.28515625" style="51" customWidth="1"/>
    <col min="4628" max="4628" width="15.28515625" style="51" customWidth="1"/>
    <col min="4629" max="4629" width="0.42578125" style="51" customWidth="1"/>
    <col min="4630" max="4631" width="11.42578125" style="51"/>
    <col min="4632" max="4632" width="6.85546875" style="51" customWidth="1"/>
    <col min="4633" max="4864" width="11.42578125" style="51"/>
    <col min="4865" max="4865" width="10.140625" style="51" customWidth="1"/>
    <col min="4866" max="4866" width="20" style="51" customWidth="1"/>
    <col min="4867" max="4867" width="2.85546875" style="51" customWidth="1"/>
    <col min="4868" max="4869" width="4.5703125" style="51" customWidth="1"/>
    <col min="4870" max="4870" width="5.5703125" style="51" customWidth="1"/>
    <col min="4871" max="4873" width="11" style="51" customWidth="1"/>
    <col min="4874" max="4874" width="15.28515625" style="51" customWidth="1"/>
    <col min="4875" max="4875" width="1" style="51" customWidth="1"/>
    <col min="4876" max="4876" width="20" style="51" customWidth="1"/>
    <col min="4877" max="4877" width="2.85546875" style="51" customWidth="1"/>
    <col min="4878" max="4878" width="5.5703125" style="51" customWidth="1"/>
    <col min="4879" max="4879" width="4.5703125" style="51" customWidth="1"/>
    <col min="4880" max="4880" width="5.5703125" style="51" customWidth="1"/>
    <col min="4881" max="4882" width="11" style="51" customWidth="1"/>
    <col min="4883" max="4883" width="11.28515625" style="51" customWidth="1"/>
    <col min="4884" max="4884" width="15.28515625" style="51" customWidth="1"/>
    <col min="4885" max="4885" width="0.42578125" style="51" customWidth="1"/>
    <col min="4886" max="4887" width="11.42578125" style="51"/>
    <col min="4888" max="4888" width="6.85546875" style="51" customWidth="1"/>
    <col min="4889" max="5120" width="11.42578125" style="51"/>
    <col min="5121" max="5121" width="10.140625" style="51" customWidth="1"/>
    <col min="5122" max="5122" width="20" style="51" customWidth="1"/>
    <col min="5123" max="5123" width="2.85546875" style="51" customWidth="1"/>
    <col min="5124" max="5125" width="4.5703125" style="51" customWidth="1"/>
    <col min="5126" max="5126" width="5.5703125" style="51" customWidth="1"/>
    <col min="5127" max="5129" width="11" style="51" customWidth="1"/>
    <col min="5130" max="5130" width="15.28515625" style="51" customWidth="1"/>
    <col min="5131" max="5131" width="1" style="51" customWidth="1"/>
    <col min="5132" max="5132" width="20" style="51" customWidth="1"/>
    <col min="5133" max="5133" width="2.85546875" style="51" customWidth="1"/>
    <col min="5134" max="5134" width="5.5703125" style="51" customWidth="1"/>
    <col min="5135" max="5135" width="4.5703125" style="51" customWidth="1"/>
    <col min="5136" max="5136" width="5.5703125" style="51" customWidth="1"/>
    <col min="5137" max="5138" width="11" style="51" customWidth="1"/>
    <col min="5139" max="5139" width="11.28515625" style="51" customWidth="1"/>
    <col min="5140" max="5140" width="15.28515625" style="51" customWidth="1"/>
    <col min="5141" max="5141" width="0.42578125" style="51" customWidth="1"/>
    <col min="5142" max="5143" width="11.42578125" style="51"/>
    <col min="5144" max="5144" width="6.85546875" style="51" customWidth="1"/>
    <col min="5145" max="5376" width="11.42578125" style="51"/>
    <col min="5377" max="5377" width="10.140625" style="51" customWidth="1"/>
    <col min="5378" max="5378" width="20" style="51" customWidth="1"/>
    <col min="5379" max="5379" width="2.85546875" style="51" customWidth="1"/>
    <col min="5380" max="5381" width="4.5703125" style="51" customWidth="1"/>
    <col min="5382" max="5382" width="5.5703125" style="51" customWidth="1"/>
    <col min="5383" max="5385" width="11" style="51" customWidth="1"/>
    <col min="5386" max="5386" width="15.28515625" style="51" customWidth="1"/>
    <col min="5387" max="5387" width="1" style="51" customWidth="1"/>
    <col min="5388" max="5388" width="20" style="51" customWidth="1"/>
    <col min="5389" max="5389" width="2.85546875" style="51" customWidth="1"/>
    <col min="5390" max="5390" width="5.5703125" style="51" customWidth="1"/>
    <col min="5391" max="5391" width="4.5703125" style="51" customWidth="1"/>
    <col min="5392" max="5392" width="5.5703125" style="51" customWidth="1"/>
    <col min="5393" max="5394" width="11" style="51" customWidth="1"/>
    <col min="5395" max="5395" width="11.28515625" style="51" customWidth="1"/>
    <col min="5396" max="5396" width="15.28515625" style="51" customWidth="1"/>
    <col min="5397" max="5397" width="0.42578125" style="51" customWidth="1"/>
    <col min="5398" max="5399" width="11.42578125" style="51"/>
    <col min="5400" max="5400" width="6.85546875" style="51" customWidth="1"/>
    <col min="5401" max="5632" width="11.42578125" style="51"/>
    <col min="5633" max="5633" width="10.140625" style="51" customWidth="1"/>
    <col min="5634" max="5634" width="20" style="51" customWidth="1"/>
    <col min="5635" max="5635" width="2.85546875" style="51" customWidth="1"/>
    <col min="5636" max="5637" width="4.5703125" style="51" customWidth="1"/>
    <col min="5638" max="5638" width="5.5703125" style="51" customWidth="1"/>
    <col min="5639" max="5641" width="11" style="51" customWidth="1"/>
    <col min="5642" max="5642" width="15.28515625" style="51" customWidth="1"/>
    <col min="5643" max="5643" width="1" style="51" customWidth="1"/>
    <col min="5644" max="5644" width="20" style="51" customWidth="1"/>
    <col min="5645" max="5645" width="2.85546875" style="51" customWidth="1"/>
    <col min="5646" max="5646" width="5.5703125" style="51" customWidth="1"/>
    <col min="5647" max="5647" width="4.5703125" style="51" customWidth="1"/>
    <col min="5648" max="5648" width="5.5703125" style="51" customWidth="1"/>
    <col min="5649" max="5650" width="11" style="51" customWidth="1"/>
    <col min="5651" max="5651" width="11.28515625" style="51" customWidth="1"/>
    <col min="5652" max="5652" width="15.28515625" style="51" customWidth="1"/>
    <col min="5653" max="5653" width="0.42578125" style="51" customWidth="1"/>
    <col min="5654" max="5655" width="11.42578125" style="51"/>
    <col min="5656" max="5656" width="6.85546875" style="51" customWidth="1"/>
    <col min="5657" max="5888" width="11.42578125" style="51"/>
    <col min="5889" max="5889" width="10.140625" style="51" customWidth="1"/>
    <col min="5890" max="5890" width="20" style="51" customWidth="1"/>
    <col min="5891" max="5891" width="2.85546875" style="51" customWidth="1"/>
    <col min="5892" max="5893" width="4.5703125" style="51" customWidth="1"/>
    <col min="5894" max="5894" width="5.5703125" style="51" customWidth="1"/>
    <col min="5895" max="5897" width="11" style="51" customWidth="1"/>
    <col min="5898" max="5898" width="15.28515625" style="51" customWidth="1"/>
    <col min="5899" max="5899" width="1" style="51" customWidth="1"/>
    <col min="5900" max="5900" width="20" style="51" customWidth="1"/>
    <col min="5901" max="5901" width="2.85546875" style="51" customWidth="1"/>
    <col min="5902" max="5902" width="5.5703125" style="51" customWidth="1"/>
    <col min="5903" max="5903" width="4.5703125" style="51" customWidth="1"/>
    <col min="5904" max="5904" width="5.5703125" style="51" customWidth="1"/>
    <col min="5905" max="5906" width="11" style="51" customWidth="1"/>
    <col min="5907" max="5907" width="11.28515625" style="51" customWidth="1"/>
    <col min="5908" max="5908" width="15.28515625" style="51" customWidth="1"/>
    <col min="5909" max="5909" width="0.42578125" style="51" customWidth="1"/>
    <col min="5910" max="5911" width="11.42578125" style="51"/>
    <col min="5912" max="5912" width="6.85546875" style="51" customWidth="1"/>
    <col min="5913" max="6144" width="11.42578125" style="51"/>
    <col min="6145" max="6145" width="10.140625" style="51" customWidth="1"/>
    <col min="6146" max="6146" width="20" style="51" customWidth="1"/>
    <col min="6147" max="6147" width="2.85546875" style="51" customWidth="1"/>
    <col min="6148" max="6149" width="4.5703125" style="51" customWidth="1"/>
    <col min="6150" max="6150" width="5.5703125" style="51" customWidth="1"/>
    <col min="6151" max="6153" width="11" style="51" customWidth="1"/>
    <col min="6154" max="6154" width="15.28515625" style="51" customWidth="1"/>
    <col min="6155" max="6155" width="1" style="51" customWidth="1"/>
    <col min="6156" max="6156" width="20" style="51" customWidth="1"/>
    <col min="6157" max="6157" width="2.85546875" style="51" customWidth="1"/>
    <col min="6158" max="6158" width="5.5703125" style="51" customWidth="1"/>
    <col min="6159" max="6159" width="4.5703125" style="51" customWidth="1"/>
    <col min="6160" max="6160" width="5.5703125" style="51" customWidth="1"/>
    <col min="6161" max="6162" width="11" style="51" customWidth="1"/>
    <col min="6163" max="6163" width="11.28515625" style="51" customWidth="1"/>
    <col min="6164" max="6164" width="15.28515625" style="51" customWidth="1"/>
    <col min="6165" max="6165" width="0.42578125" style="51" customWidth="1"/>
    <col min="6166" max="6167" width="11.42578125" style="51"/>
    <col min="6168" max="6168" width="6.85546875" style="51" customWidth="1"/>
    <col min="6169" max="6400" width="11.42578125" style="51"/>
    <col min="6401" max="6401" width="10.140625" style="51" customWidth="1"/>
    <col min="6402" max="6402" width="20" style="51" customWidth="1"/>
    <col min="6403" max="6403" width="2.85546875" style="51" customWidth="1"/>
    <col min="6404" max="6405" width="4.5703125" style="51" customWidth="1"/>
    <col min="6406" max="6406" width="5.5703125" style="51" customWidth="1"/>
    <col min="6407" max="6409" width="11" style="51" customWidth="1"/>
    <col min="6410" max="6410" width="15.28515625" style="51" customWidth="1"/>
    <col min="6411" max="6411" width="1" style="51" customWidth="1"/>
    <col min="6412" max="6412" width="20" style="51" customWidth="1"/>
    <col min="6413" max="6413" width="2.85546875" style="51" customWidth="1"/>
    <col min="6414" max="6414" width="5.5703125" style="51" customWidth="1"/>
    <col min="6415" max="6415" width="4.5703125" style="51" customWidth="1"/>
    <col min="6416" max="6416" width="5.5703125" style="51" customWidth="1"/>
    <col min="6417" max="6418" width="11" style="51" customWidth="1"/>
    <col min="6419" max="6419" width="11.28515625" style="51" customWidth="1"/>
    <col min="6420" max="6420" width="15.28515625" style="51" customWidth="1"/>
    <col min="6421" max="6421" width="0.42578125" style="51" customWidth="1"/>
    <col min="6422" max="6423" width="11.42578125" style="51"/>
    <col min="6424" max="6424" width="6.85546875" style="51" customWidth="1"/>
    <col min="6425" max="6656" width="11.42578125" style="51"/>
    <col min="6657" max="6657" width="10.140625" style="51" customWidth="1"/>
    <col min="6658" max="6658" width="20" style="51" customWidth="1"/>
    <col min="6659" max="6659" width="2.85546875" style="51" customWidth="1"/>
    <col min="6660" max="6661" width="4.5703125" style="51" customWidth="1"/>
    <col min="6662" max="6662" width="5.5703125" style="51" customWidth="1"/>
    <col min="6663" max="6665" width="11" style="51" customWidth="1"/>
    <col min="6666" max="6666" width="15.28515625" style="51" customWidth="1"/>
    <col min="6667" max="6667" width="1" style="51" customWidth="1"/>
    <col min="6668" max="6668" width="20" style="51" customWidth="1"/>
    <col min="6669" max="6669" width="2.85546875" style="51" customWidth="1"/>
    <col min="6670" max="6670" width="5.5703125" style="51" customWidth="1"/>
    <col min="6671" max="6671" width="4.5703125" style="51" customWidth="1"/>
    <col min="6672" max="6672" width="5.5703125" style="51" customWidth="1"/>
    <col min="6673" max="6674" width="11" style="51" customWidth="1"/>
    <col min="6675" max="6675" width="11.28515625" style="51" customWidth="1"/>
    <col min="6676" max="6676" width="15.28515625" style="51" customWidth="1"/>
    <col min="6677" max="6677" width="0.42578125" style="51" customWidth="1"/>
    <col min="6678" max="6679" width="11.42578125" style="51"/>
    <col min="6680" max="6680" width="6.85546875" style="51" customWidth="1"/>
    <col min="6681" max="6912" width="11.42578125" style="51"/>
    <col min="6913" max="6913" width="10.140625" style="51" customWidth="1"/>
    <col min="6914" max="6914" width="20" style="51" customWidth="1"/>
    <col min="6915" max="6915" width="2.85546875" style="51" customWidth="1"/>
    <col min="6916" max="6917" width="4.5703125" style="51" customWidth="1"/>
    <col min="6918" max="6918" width="5.5703125" style="51" customWidth="1"/>
    <col min="6919" max="6921" width="11" style="51" customWidth="1"/>
    <col min="6922" max="6922" width="15.28515625" style="51" customWidth="1"/>
    <col min="6923" max="6923" width="1" style="51" customWidth="1"/>
    <col min="6924" max="6924" width="20" style="51" customWidth="1"/>
    <col min="6925" max="6925" width="2.85546875" style="51" customWidth="1"/>
    <col min="6926" max="6926" width="5.5703125" style="51" customWidth="1"/>
    <col min="6927" max="6927" width="4.5703125" style="51" customWidth="1"/>
    <col min="6928" max="6928" width="5.5703125" style="51" customWidth="1"/>
    <col min="6929" max="6930" width="11" style="51" customWidth="1"/>
    <col min="6931" max="6931" width="11.28515625" style="51" customWidth="1"/>
    <col min="6932" max="6932" width="15.28515625" style="51" customWidth="1"/>
    <col min="6933" max="6933" width="0.42578125" style="51" customWidth="1"/>
    <col min="6934" max="6935" width="11.42578125" style="51"/>
    <col min="6936" max="6936" width="6.85546875" style="51" customWidth="1"/>
    <col min="6937" max="7168" width="11.42578125" style="51"/>
    <col min="7169" max="7169" width="10.140625" style="51" customWidth="1"/>
    <col min="7170" max="7170" width="20" style="51" customWidth="1"/>
    <col min="7171" max="7171" width="2.85546875" style="51" customWidth="1"/>
    <col min="7172" max="7173" width="4.5703125" style="51" customWidth="1"/>
    <col min="7174" max="7174" width="5.5703125" style="51" customWidth="1"/>
    <col min="7175" max="7177" width="11" style="51" customWidth="1"/>
    <col min="7178" max="7178" width="15.28515625" style="51" customWidth="1"/>
    <col min="7179" max="7179" width="1" style="51" customWidth="1"/>
    <col min="7180" max="7180" width="20" style="51" customWidth="1"/>
    <col min="7181" max="7181" width="2.85546875" style="51" customWidth="1"/>
    <col min="7182" max="7182" width="5.5703125" style="51" customWidth="1"/>
    <col min="7183" max="7183" width="4.5703125" style="51" customWidth="1"/>
    <col min="7184" max="7184" width="5.5703125" style="51" customWidth="1"/>
    <col min="7185" max="7186" width="11" style="51" customWidth="1"/>
    <col min="7187" max="7187" width="11.28515625" style="51" customWidth="1"/>
    <col min="7188" max="7188" width="15.28515625" style="51" customWidth="1"/>
    <col min="7189" max="7189" width="0.42578125" style="51" customWidth="1"/>
    <col min="7190" max="7191" width="11.42578125" style="51"/>
    <col min="7192" max="7192" width="6.85546875" style="51" customWidth="1"/>
    <col min="7193" max="7424" width="11.42578125" style="51"/>
    <col min="7425" max="7425" width="10.140625" style="51" customWidth="1"/>
    <col min="7426" max="7426" width="20" style="51" customWidth="1"/>
    <col min="7427" max="7427" width="2.85546875" style="51" customWidth="1"/>
    <col min="7428" max="7429" width="4.5703125" style="51" customWidth="1"/>
    <col min="7430" max="7430" width="5.5703125" style="51" customWidth="1"/>
    <col min="7431" max="7433" width="11" style="51" customWidth="1"/>
    <col min="7434" max="7434" width="15.28515625" style="51" customWidth="1"/>
    <col min="7435" max="7435" width="1" style="51" customWidth="1"/>
    <col min="7436" max="7436" width="20" style="51" customWidth="1"/>
    <col min="7437" max="7437" width="2.85546875" style="51" customWidth="1"/>
    <col min="7438" max="7438" width="5.5703125" style="51" customWidth="1"/>
    <col min="7439" max="7439" width="4.5703125" style="51" customWidth="1"/>
    <col min="7440" max="7440" width="5.5703125" style="51" customWidth="1"/>
    <col min="7441" max="7442" width="11" style="51" customWidth="1"/>
    <col min="7443" max="7443" width="11.28515625" style="51" customWidth="1"/>
    <col min="7444" max="7444" width="15.28515625" style="51" customWidth="1"/>
    <col min="7445" max="7445" width="0.42578125" style="51" customWidth="1"/>
    <col min="7446" max="7447" width="11.42578125" style="51"/>
    <col min="7448" max="7448" width="6.85546875" style="51" customWidth="1"/>
    <col min="7449" max="7680" width="11.42578125" style="51"/>
    <col min="7681" max="7681" width="10.140625" style="51" customWidth="1"/>
    <col min="7682" max="7682" width="20" style="51" customWidth="1"/>
    <col min="7683" max="7683" width="2.85546875" style="51" customWidth="1"/>
    <col min="7684" max="7685" width="4.5703125" style="51" customWidth="1"/>
    <col min="7686" max="7686" width="5.5703125" style="51" customWidth="1"/>
    <col min="7687" max="7689" width="11" style="51" customWidth="1"/>
    <col min="7690" max="7690" width="15.28515625" style="51" customWidth="1"/>
    <col min="7691" max="7691" width="1" style="51" customWidth="1"/>
    <col min="7692" max="7692" width="20" style="51" customWidth="1"/>
    <col min="7693" max="7693" width="2.85546875" style="51" customWidth="1"/>
    <col min="7694" max="7694" width="5.5703125" style="51" customWidth="1"/>
    <col min="7695" max="7695" width="4.5703125" style="51" customWidth="1"/>
    <col min="7696" max="7696" width="5.5703125" style="51" customWidth="1"/>
    <col min="7697" max="7698" width="11" style="51" customWidth="1"/>
    <col min="7699" max="7699" width="11.28515625" style="51" customWidth="1"/>
    <col min="7700" max="7700" width="15.28515625" style="51" customWidth="1"/>
    <col min="7701" max="7701" width="0.42578125" style="51" customWidth="1"/>
    <col min="7702" max="7703" width="11.42578125" style="51"/>
    <col min="7704" max="7704" width="6.85546875" style="51" customWidth="1"/>
    <col min="7705" max="7936" width="11.42578125" style="51"/>
    <col min="7937" max="7937" width="10.140625" style="51" customWidth="1"/>
    <col min="7938" max="7938" width="20" style="51" customWidth="1"/>
    <col min="7939" max="7939" width="2.85546875" style="51" customWidth="1"/>
    <col min="7940" max="7941" width="4.5703125" style="51" customWidth="1"/>
    <col min="7942" max="7942" width="5.5703125" style="51" customWidth="1"/>
    <col min="7943" max="7945" width="11" style="51" customWidth="1"/>
    <col min="7946" max="7946" width="15.28515625" style="51" customWidth="1"/>
    <col min="7947" max="7947" width="1" style="51" customWidth="1"/>
    <col min="7948" max="7948" width="20" style="51" customWidth="1"/>
    <col min="7949" max="7949" width="2.85546875" style="51" customWidth="1"/>
    <col min="7950" max="7950" width="5.5703125" style="51" customWidth="1"/>
    <col min="7951" max="7951" width="4.5703125" style="51" customWidth="1"/>
    <col min="7952" max="7952" width="5.5703125" style="51" customWidth="1"/>
    <col min="7953" max="7954" width="11" style="51" customWidth="1"/>
    <col min="7955" max="7955" width="11.28515625" style="51" customWidth="1"/>
    <col min="7956" max="7956" width="15.28515625" style="51" customWidth="1"/>
    <col min="7957" max="7957" width="0.42578125" style="51" customWidth="1"/>
    <col min="7958" max="7959" width="11.42578125" style="51"/>
    <col min="7960" max="7960" width="6.85546875" style="51" customWidth="1"/>
    <col min="7961" max="8192" width="11.42578125" style="51"/>
    <col min="8193" max="8193" width="10.140625" style="51" customWidth="1"/>
    <col min="8194" max="8194" width="20" style="51" customWidth="1"/>
    <col min="8195" max="8195" width="2.85546875" style="51" customWidth="1"/>
    <col min="8196" max="8197" width="4.5703125" style="51" customWidth="1"/>
    <col min="8198" max="8198" width="5.5703125" style="51" customWidth="1"/>
    <col min="8199" max="8201" width="11" style="51" customWidth="1"/>
    <col min="8202" max="8202" width="15.28515625" style="51" customWidth="1"/>
    <col min="8203" max="8203" width="1" style="51" customWidth="1"/>
    <col min="8204" max="8204" width="20" style="51" customWidth="1"/>
    <col min="8205" max="8205" width="2.85546875" style="51" customWidth="1"/>
    <col min="8206" max="8206" width="5.5703125" style="51" customWidth="1"/>
    <col min="8207" max="8207" width="4.5703125" style="51" customWidth="1"/>
    <col min="8208" max="8208" width="5.5703125" style="51" customWidth="1"/>
    <col min="8209" max="8210" width="11" style="51" customWidth="1"/>
    <col min="8211" max="8211" width="11.28515625" style="51" customWidth="1"/>
    <col min="8212" max="8212" width="15.28515625" style="51" customWidth="1"/>
    <col min="8213" max="8213" width="0.42578125" style="51" customWidth="1"/>
    <col min="8214" max="8215" width="11.42578125" style="51"/>
    <col min="8216" max="8216" width="6.85546875" style="51" customWidth="1"/>
    <col min="8217" max="8448" width="11.42578125" style="51"/>
    <col min="8449" max="8449" width="10.140625" style="51" customWidth="1"/>
    <col min="8450" max="8450" width="20" style="51" customWidth="1"/>
    <col min="8451" max="8451" width="2.85546875" style="51" customWidth="1"/>
    <col min="8452" max="8453" width="4.5703125" style="51" customWidth="1"/>
    <col min="8454" max="8454" width="5.5703125" style="51" customWidth="1"/>
    <col min="8455" max="8457" width="11" style="51" customWidth="1"/>
    <col min="8458" max="8458" width="15.28515625" style="51" customWidth="1"/>
    <col min="8459" max="8459" width="1" style="51" customWidth="1"/>
    <col min="8460" max="8460" width="20" style="51" customWidth="1"/>
    <col min="8461" max="8461" width="2.85546875" style="51" customWidth="1"/>
    <col min="8462" max="8462" width="5.5703125" style="51" customWidth="1"/>
    <col min="8463" max="8463" width="4.5703125" style="51" customWidth="1"/>
    <col min="8464" max="8464" width="5.5703125" style="51" customWidth="1"/>
    <col min="8465" max="8466" width="11" style="51" customWidth="1"/>
    <col min="8467" max="8467" width="11.28515625" style="51" customWidth="1"/>
    <col min="8468" max="8468" width="15.28515625" style="51" customWidth="1"/>
    <col min="8469" max="8469" width="0.42578125" style="51" customWidth="1"/>
    <col min="8470" max="8471" width="11.42578125" style="51"/>
    <col min="8472" max="8472" width="6.85546875" style="51" customWidth="1"/>
    <col min="8473" max="8704" width="11.42578125" style="51"/>
    <col min="8705" max="8705" width="10.140625" style="51" customWidth="1"/>
    <col min="8706" max="8706" width="20" style="51" customWidth="1"/>
    <col min="8707" max="8707" width="2.85546875" style="51" customWidth="1"/>
    <col min="8708" max="8709" width="4.5703125" style="51" customWidth="1"/>
    <col min="8710" max="8710" width="5.5703125" style="51" customWidth="1"/>
    <col min="8711" max="8713" width="11" style="51" customWidth="1"/>
    <col min="8714" max="8714" width="15.28515625" style="51" customWidth="1"/>
    <col min="8715" max="8715" width="1" style="51" customWidth="1"/>
    <col min="8716" max="8716" width="20" style="51" customWidth="1"/>
    <col min="8717" max="8717" width="2.85546875" style="51" customWidth="1"/>
    <col min="8718" max="8718" width="5.5703125" style="51" customWidth="1"/>
    <col min="8719" max="8719" width="4.5703125" style="51" customWidth="1"/>
    <col min="8720" max="8720" width="5.5703125" style="51" customWidth="1"/>
    <col min="8721" max="8722" width="11" style="51" customWidth="1"/>
    <col min="8723" max="8723" width="11.28515625" style="51" customWidth="1"/>
    <col min="8724" max="8724" width="15.28515625" style="51" customWidth="1"/>
    <col min="8725" max="8725" width="0.42578125" style="51" customWidth="1"/>
    <col min="8726" max="8727" width="11.42578125" style="51"/>
    <col min="8728" max="8728" width="6.85546875" style="51" customWidth="1"/>
    <col min="8729" max="8960" width="11.42578125" style="51"/>
    <col min="8961" max="8961" width="10.140625" style="51" customWidth="1"/>
    <col min="8962" max="8962" width="20" style="51" customWidth="1"/>
    <col min="8963" max="8963" width="2.85546875" style="51" customWidth="1"/>
    <col min="8964" max="8965" width="4.5703125" style="51" customWidth="1"/>
    <col min="8966" max="8966" width="5.5703125" style="51" customWidth="1"/>
    <col min="8967" max="8969" width="11" style="51" customWidth="1"/>
    <col min="8970" max="8970" width="15.28515625" style="51" customWidth="1"/>
    <col min="8971" max="8971" width="1" style="51" customWidth="1"/>
    <col min="8972" max="8972" width="20" style="51" customWidth="1"/>
    <col min="8973" max="8973" width="2.85546875" style="51" customWidth="1"/>
    <col min="8974" max="8974" width="5.5703125" style="51" customWidth="1"/>
    <col min="8975" max="8975" width="4.5703125" style="51" customWidth="1"/>
    <col min="8976" max="8976" width="5.5703125" style="51" customWidth="1"/>
    <col min="8977" max="8978" width="11" style="51" customWidth="1"/>
    <col min="8979" max="8979" width="11.28515625" style="51" customWidth="1"/>
    <col min="8980" max="8980" width="15.28515625" style="51" customWidth="1"/>
    <col min="8981" max="8981" width="0.42578125" style="51" customWidth="1"/>
    <col min="8982" max="8983" width="11.42578125" style="51"/>
    <col min="8984" max="8984" width="6.85546875" style="51" customWidth="1"/>
    <col min="8985" max="9216" width="11.42578125" style="51"/>
    <col min="9217" max="9217" width="10.140625" style="51" customWidth="1"/>
    <col min="9218" max="9218" width="20" style="51" customWidth="1"/>
    <col min="9219" max="9219" width="2.85546875" style="51" customWidth="1"/>
    <col min="9220" max="9221" width="4.5703125" style="51" customWidth="1"/>
    <col min="9222" max="9222" width="5.5703125" style="51" customWidth="1"/>
    <col min="9223" max="9225" width="11" style="51" customWidth="1"/>
    <col min="9226" max="9226" width="15.28515625" style="51" customWidth="1"/>
    <col min="9227" max="9227" width="1" style="51" customWidth="1"/>
    <col min="9228" max="9228" width="20" style="51" customWidth="1"/>
    <col min="9229" max="9229" width="2.85546875" style="51" customWidth="1"/>
    <col min="9230" max="9230" width="5.5703125" style="51" customWidth="1"/>
    <col min="9231" max="9231" width="4.5703125" style="51" customWidth="1"/>
    <col min="9232" max="9232" width="5.5703125" style="51" customWidth="1"/>
    <col min="9233" max="9234" width="11" style="51" customWidth="1"/>
    <col min="9235" max="9235" width="11.28515625" style="51" customWidth="1"/>
    <col min="9236" max="9236" width="15.28515625" style="51" customWidth="1"/>
    <col min="9237" max="9237" width="0.42578125" style="51" customWidth="1"/>
    <col min="9238" max="9239" width="11.42578125" style="51"/>
    <col min="9240" max="9240" width="6.85546875" style="51" customWidth="1"/>
    <col min="9241" max="9472" width="11.42578125" style="51"/>
    <col min="9473" max="9473" width="10.140625" style="51" customWidth="1"/>
    <col min="9474" max="9474" width="20" style="51" customWidth="1"/>
    <col min="9475" max="9475" width="2.85546875" style="51" customWidth="1"/>
    <col min="9476" max="9477" width="4.5703125" style="51" customWidth="1"/>
    <col min="9478" max="9478" width="5.5703125" style="51" customWidth="1"/>
    <col min="9479" max="9481" width="11" style="51" customWidth="1"/>
    <col min="9482" max="9482" width="15.28515625" style="51" customWidth="1"/>
    <col min="9483" max="9483" width="1" style="51" customWidth="1"/>
    <col min="9484" max="9484" width="20" style="51" customWidth="1"/>
    <col min="9485" max="9485" width="2.85546875" style="51" customWidth="1"/>
    <col min="9486" max="9486" width="5.5703125" style="51" customWidth="1"/>
    <col min="9487" max="9487" width="4.5703125" style="51" customWidth="1"/>
    <col min="9488" max="9488" width="5.5703125" style="51" customWidth="1"/>
    <col min="9489" max="9490" width="11" style="51" customWidth="1"/>
    <col min="9491" max="9491" width="11.28515625" style="51" customWidth="1"/>
    <col min="9492" max="9492" width="15.28515625" style="51" customWidth="1"/>
    <col min="9493" max="9493" width="0.42578125" style="51" customWidth="1"/>
    <col min="9494" max="9495" width="11.42578125" style="51"/>
    <col min="9496" max="9496" width="6.85546875" style="51" customWidth="1"/>
    <col min="9497" max="9728" width="11.42578125" style="51"/>
    <col min="9729" max="9729" width="10.140625" style="51" customWidth="1"/>
    <col min="9730" max="9730" width="20" style="51" customWidth="1"/>
    <col min="9731" max="9731" width="2.85546875" style="51" customWidth="1"/>
    <col min="9732" max="9733" width="4.5703125" style="51" customWidth="1"/>
    <col min="9734" max="9734" width="5.5703125" style="51" customWidth="1"/>
    <col min="9735" max="9737" width="11" style="51" customWidth="1"/>
    <col min="9738" max="9738" width="15.28515625" style="51" customWidth="1"/>
    <col min="9739" max="9739" width="1" style="51" customWidth="1"/>
    <col min="9740" max="9740" width="20" style="51" customWidth="1"/>
    <col min="9741" max="9741" width="2.85546875" style="51" customWidth="1"/>
    <col min="9742" max="9742" width="5.5703125" style="51" customWidth="1"/>
    <col min="9743" max="9743" width="4.5703125" style="51" customWidth="1"/>
    <col min="9744" max="9744" width="5.5703125" style="51" customWidth="1"/>
    <col min="9745" max="9746" width="11" style="51" customWidth="1"/>
    <col min="9747" max="9747" width="11.28515625" style="51" customWidth="1"/>
    <col min="9748" max="9748" width="15.28515625" style="51" customWidth="1"/>
    <col min="9749" max="9749" width="0.42578125" style="51" customWidth="1"/>
    <col min="9750" max="9751" width="11.42578125" style="51"/>
    <col min="9752" max="9752" width="6.85546875" style="51" customWidth="1"/>
    <col min="9753" max="9984" width="11.42578125" style="51"/>
    <col min="9985" max="9985" width="10.140625" style="51" customWidth="1"/>
    <col min="9986" max="9986" width="20" style="51" customWidth="1"/>
    <col min="9987" max="9987" width="2.85546875" style="51" customWidth="1"/>
    <col min="9988" max="9989" width="4.5703125" style="51" customWidth="1"/>
    <col min="9990" max="9990" width="5.5703125" style="51" customWidth="1"/>
    <col min="9991" max="9993" width="11" style="51" customWidth="1"/>
    <col min="9994" max="9994" width="15.28515625" style="51" customWidth="1"/>
    <col min="9995" max="9995" width="1" style="51" customWidth="1"/>
    <col min="9996" max="9996" width="20" style="51" customWidth="1"/>
    <col min="9997" max="9997" width="2.85546875" style="51" customWidth="1"/>
    <col min="9998" max="9998" width="5.5703125" style="51" customWidth="1"/>
    <col min="9999" max="9999" width="4.5703125" style="51" customWidth="1"/>
    <col min="10000" max="10000" width="5.5703125" style="51" customWidth="1"/>
    <col min="10001" max="10002" width="11" style="51" customWidth="1"/>
    <col min="10003" max="10003" width="11.28515625" style="51" customWidth="1"/>
    <col min="10004" max="10004" width="15.28515625" style="51" customWidth="1"/>
    <col min="10005" max="10005" width="0.42578125" style="51" customWidth="1"/>
    <col min="10006" max="10007" width="11.42578125" style="51"/>
    <col min="10008" max="10008" width="6.85546875" style="51" customWidth="1"/>
    <col min="10009" max="10240" width="11.42578125" style="51"/>
    <col min="10241" max="10241" width="10.140625" style="51" customWidth="1"/>
    <col min="10242" max="10242" width="20" style="51" customWidth="1"/>
    <col min="10243" max="10243" width="2.85546875" style="51" customWidth="1"/>
    <col min="10244" max="10245" width="4.5703125" style="51" customWidth="1"/>
    <col min="10246" max="10246" width="5.5703125" style="51" customWidth="1"/>
    <col min="10247" max="10249" width="11" style="51" customWidth="1"/>
    <col min="10250" max="10250" width="15.28515625" style="51" customWidth="1"/>
    <col min="10251" max="10251" width="1" style="51" customWidth="1"/>
    <col min="10252" max="10252" width="20" style="51" customWidth="1"/>
    <col min="10253" max="10253" width="2.85546875" style="51" customWidth="1"/>
    <col min="10254" max="10254" width="5.5703125" style="51" customWidth="1"/>
    <col min="10255" max="10255" width="4.5703125" style="51" customWidth="1"/>
    <col min="10256" max="10256" width="5.5703125" style="51" customWidth="1"/>
    <col min="10257" max="10258" width="11" style="51" customWidth="1"/>
    <col min="10259" max="10259" width="11.28515625" style="51" customWidth="1"/>
    <col min="10260" max="10260" width="15.28515625" style="51" customWidth="1"/>
    <col min="10261" max="10261" width="0.42578125" style="51" customWidth="1"/>
    <col min="10262" max="10263" width="11.42578125" style="51"/>
    <col min="10264" max="10264" width="6.85546875" style="51" customWidth="1"/>
    <col min="10265" max="10496" width="11.42578125" style="51"/>
    <col min="10497" max="10497" width="10.140625" style="51" customWidth="1"/>
    <col min="10498" max="10498" width="20" style="51" customWidth="1"/>
    <col min="10499" max="10499" width="2.85546875" style="51" customWidth="1"/>
    <col min="10500" max="10501" width="4.5703125" style="51" customWidth="1"/>
    <col min="10502" max="10502" width="5.5703125" style="51" customWidth="1"/>
    <col min="10503" max="10505" width="11" style="51" customWidth="1"/>
    <col min="10506" max="10506" width="15.28515625" style="51" customWidth="1"/>
    <col min="10507" max="10507" width="1" style="51" customWidth="1"/>
    <col min="10508" max="10508" width="20" style="51" customWidth="1"/>
    <col min="10509" max="10509" width="2.85546875" style="51" customWidth="1"/>
    <col min="10510" max="10510" width="5.5703125" style="51" customWidth="1"/>
    <col min="10511" max="10511" width="4.5703125" style="51" customWidth="1"/>
    <col min="10512" max="10512" width="5.5703125" style="51" customWidth="1"/>
    <col min="10513" max="10514" width="11" style="51" customWidth="1"/>
    <col min="10515" max="10515" width="11.28515625" style="51" customWidth="1"/>
    <col min="10516" max="10516" width="15.28515625" style="51" customWidth="1"/>
    <col min="10517" max="10517" width="0.42578125" style="51" customWidth="1"/>
    <col min="10518" max="10519" width="11.42578125" style="51"/>
    <col min="10520" max="10520" width="6.85546875" style="51" customWidth="1"/>
    <col min="10521" max="10752" width="11.42578125" style="51"/>
    <col min="10753" max="10753" width="10.140625" style="51" customWidth="1"/>
    <col min="10754" max="10754" width="20" style="51" customWidth="1"/>
    <col min="10755" max="10755" width="2.85546875" style="51" customWidth="1"/>
    <col min="10756" max="10757" width="4.5703125" style="51" customWidth="1"/>
    <col min="10758" max="10758" width="5.5703125" style="51" customWidth="1"/>
    <col min="10759" max="10761" width="11" style="51" customWidth="1"/>
    <col min="10762" max="10762" width="15.28515625" style="51" customWidth="1"/>
    <col min="10763" max="10763" width="1" style="51" customWidth="1"/>
    <col min="10764" max="10764" width="20" style="51" customWidth="1"/>
    <col min="10765" max="10765" width="2.85546875" style="51" customWidth="1"/>
    <col min="10766" max="10766" width="5.5703125" style="51" customWidth="1"/>
    <col min="10767" max="10767" width="4.5703125" style="51" customWidth="1"/>
    <col min="10768" max="10768" width="5.5703125" style="51" customWidth="1"/>
    <col min="10769" max="10770" width="11" style="51" customWidth="1"/>
    <col min="10771" max="10771" width="11.28515625" style="51" customWidth="1"/>
    <col min="10772" max="10772" width="15.28515625" style="51" customWidth="1"/>
    <col min="10773" max="10773" width="0.42578125" style="51" customWidth="1"/>
    <col min="10774" max="10775" width="11.42578125" style="51"/>
    <col min="10776" max="10776" width="6.85546875" style="51" customWidth="1"/>
    <col min="10777" max="11008" width="11.42578125" style="51"/>
    <col min="11009" max="11009" width="10.140625" style="51" customWidth="1"/>
    <col min="11010" max="11010" width="20" style="51" customWidth="1"/>
    <col min="11011" max="11011" width="2.85546875" style="51" customWidth="1"/>
    <col min="11012" max="11013" width="4.5703125" style="51" customWidth="1"/>
    <col min="11014" max="11014" width="5.5703125" style="51" customWidth="1"/>
    <col min="11015" max="11017" width="11" style="51" customWidth="1"/>
    <col min="11018" max="11018" width="15.28515625" style="51" customWidth="1"/>
    <col min="11019" max="11019" width="1" style="51" customWidth="1"/>
    <col min="11020" max="11020" width="20" style="51" customWidth="1"/>
    <col min="11021" max="11021" width="2.85546875" style="51" customWidth="1"/>
    <col min="11022" max="11022" width="5.5703125" style="51" customWidth="1"/>
    <col min="11023" max="11023" width="4.5703125" style="51" customWidth="1"/>
    <col min="11024" max="11024" width="5.5703125" style="51" customWidth="1"/>
    <col min="11025" max="11026" width="11" style="51" customWidth="1"/>
    <col min="11027" max="11027" width="11.28515625" style="51" customWidth="1"/>
    <col min="11028" max="11028" width="15.28515625" style="51" customWidth="1"/>
    <col min="11029" max="11029" width="0.42578125" style="51" customWidth="1"/>
    <col min="11030" max="11031" width="11.42578125" style="51"/>
    <col min="11032" max="11032" width="6.85546875" style="51" customWidth="1"/>
    <col min="11033" max="11264" width="11.42578125" style="51"/>
    <col min="11265" max="11265" width="10.140625" style="51" customWidth="1"/>
    <col min="11266" max="11266" width="20" style="51" customWidth="1"/>
    <col min="11267" max="11267" width="2.85546875" style="51" customWidth="1"/>
    <col min="11268" max="11269" width="4.5703125" style="51" customWidth="1"/>
    <col min="11270" max="11270" width="5.5703125" style="51" customWidth="1"/>
    <col min="11271" max="11273" width="11" style="51" customWidth="1"/>
    <col min="11274" max="11274" width="15.28515625" style="51" customWidth="1"/>
    <col min="11275" max="11275" width="1" style="51" customWidth="1"/>
    <col min="11276" max="11276" width="20" style="51" customWidth="1"/>
    <col min="11277" max="11277" width="2.85546875" style="51" customWidth="1"/>
    <col min="11278" max="11278" width="5.5703125" style="51" customWidth="1"/>
    <col min="11279" max="11279" width="4.5703125" style="51" customWidth="1"/>
    <col min="11280" max="11280" width="5.5703125" style="51" customWidth="1"/>
    <col min="11281" max="11282" width="11" style="51" customWidth="1"/>
    <col min="11283" max="11283" width="11.28515625" style="51" customWidth="1"/>
    <col min="11284" max="11284" width="15.28515625" style="51" customWidth="1"/>
    <col min="11285" max="11285" width="0.42578125" style="51" customWidth="1"/>
    <col min="11286" max="11287" width="11.42578125" style="51"/>
    <col min="11288" max="11288" width="6.85546875" style="51" customWidth="1"/>
    <col min="11289" max="11520" width="11.42578125" style="51"/>
    <col min="11521" max="11521" width="10.140625" style="51" customWidth="1"/>
    <col min="11522" max="11522" width="20" style="51" customWidth="1"/>
    <col min="11523" max="11523" width="2.85546875" style="51" customWidth="1"/>
    <col min="11524" max="11525" width="4.5703125" style="51" customWidth="1"/>
    <col min="11526" max="11526" width="5.5703125" style="51" customWidth="1"/>
    <col min="11527" max="11529" width="11" style="51" customWidth="1"/>
    <col min="11530" max="11530" width="15.28515625" style="51" customWidth="1"/>
    <col min="11531" max="11531" width="1" style="51" customWidth="1"/>
    <col min="11532" max="11532" width="20" style="51" customWidth="1"/>
    <col min="11533" max="11533" width="2.85546875" style="51" customWidth="1"/>
    <col min="11534" max="11534" width="5.5703125" style="51" customWidth="1"/>
    <col min="11535" max="11535" width="4.5703125" style="51" customWidth="1"/>
    <col min="11536" max="11536" width="5.5703125" style="51" customWidth="1"/>
    <col min="11537" max="11538" width="11" style="51" customWidth="1"/>
    <col min="11539" max="11539" width="11.28515625" style="51" customWidth="1"/>
    <col min="11540" max="11540" width="15.28515625" style="51" customWidth="1"/>
    <col min="11541" max="11541" width="0.42578125" style="51" customWidth="1"/>
    <col min="11542" max="11543" width="11.42578125" style="51"/>
    <col min="11544" max="11544" width="6.85546875" style="51" customWidth="1"/>
    <col min="11545" max="11776" width="11.42578125" style="51"/>
    <col min="11777" max="11777" width="10.140625" style="51" customWidth="1"/>
    <col min="11778" max="11778" width="20" style="51" customWidth="1"/>
    <col min="11779" max="11779" width="2.85546875" style="51" customWidth="1"/>
    <col min="11780" max="11781" width="4.5703125" style="51" customWidth="1"/>
    <col min="11782" max="11782" width="5.5703125" style="51" customWidth="1"/>
    <col min="11783" max="11785" width="11" style="51" customWidth="1"/>
    <col min="11786" max="11786" width="15.28515625" style="51" customWidth="1"/>
    <col min="11787" max="11787" width="1" style="51" customWidth="1"/>
    <col min="11788" max="11788" width="20" style="51" customWidth="1"/>
    <col min="11789" max="11789" width="2.85546875" style="51" customWidth="1"/>
    <col min="11790" max="11790" width="5.5703125" style="51" customWidth="1"/>
    <col min="11791" max="11791" width="4.5703125" style="51" customWidth="1"/>
    <col min="11792" max="11792" width="5.5703125" style="51" customWidth="1"/>
    <col min="11793" max="11794" width="11" style="51" customWidth="1"/>
    <col min="11795" max="11795" width="11.28515625" style="51" customWidth="1"/>
    <col min="11796" max="11796" width="15.28515625" style="51" customWidth="1"/>
    <col min="11797" max="11797" width="0.42578125" style="51" customWidth="1"/>
    <col min="11798" max="11799" width="11.42578125" style="51"/>
    <col min="11800" max="11800" width="6.85546875" style="51" customWidth="1"/>
    <col min="11801" max="12032" width="11.42578125" style="51"/>
    <col min="12033" max="12033" width="10.140625" style="51" customWidth="1"/>
    <col min="12034" max="12034" width="20" style="51" customWidth="1"/>
    <col min="12035" max="12035" width="2.85546875" style="51" customWidth="1"/>
    <col min="12036" max="12037" width="4.5703125" style="51" customWidth="1"/>
    <col min="12038" max="12038" width="5.5703125" style="51" customWidth="1"/>
    <col min="12039" max="12041" width="11" style="51" customWidth="1"/>
    <col min="12042" max="12042" width="15.28515625" style="51" customWidth="1"/>
    <col min="12043" max="12043" width="1" style="51" customWidth="1"/>
    <col min="12044" max="12044" width="20" style="51" customWidth="1"/>
    <col min="12045" max="12045" width="2.85546875" style="51" customWidth="1"/>
    <col min="12046" max="12046" width="5.5703125" style="51" customWidth="1"/>
    <col min="12047" max="12047" width="4.5703125" style="51" customWidth="1"/>
    <col min="12048" max="12048" width="5.5703125" style="51" customWidth="1"/>
    <col min="12049" max="12050" width="11" style="51" customWidth="1"/>
    <col min="12051" max="12051" width="11.28515625" style="51" customWidth="1"/>
    <col min="12052" max="12052" width="15.28515625" style="51" customWidth="1"/>
    <col min="12053" max="12053" width="0.42578125" style="51" customWidth="1"/>
    <col min="12054" max="12055" width="11.42578125" style="51"/>
    <col min="12056" max="12056" width="6.85546875" style="51" customWidth="1"/>
    <col min="12057" max="12288" width="11.42578125" style="51"/>
    <col min="12289" max="12289" width="10.140625" style="51" customWidth="1"/>
    <col min="12290" max="12290" width="20" style="51" customWidth="1"/>
    <col min="12291" max="12291" width="2.85546875" style="51" customWidth="1"/>
    <col min="12292" max="12293" width="4.5703125" style="51" customWidth="1"/>
    <col min="12294" max="12294" width="5.5703125" style="51" customWidth="1"/>
    <col min="12295" max="12297" width="11" style="51" customWidth="1"/>
    <col min="12298" max="12298" width="15.28515625" style="51" customWidth="1"/>
    <col min="12299" max="12299" width="1" style="51" customWidth="1"/>
    <col min="12300" max="12300" width="20" style="51" customWidth="1"/>
    <col min="12301" max="12301" width="2.85546875" style="51" customWidth="1"/>
    <col min="12302" max="12302" width="5.5703125" style="51" customWidth="1"/>
    <col min="12303" max="12303" width="4.5703125" style="51" customWidth="1"/>
    <col min="12304" max="12304" width="5.5703125" style="51" customWidth="1"/>
    <col min="12305" max="12306" width="11" style="51" customWidth="1"/>
    <col min="12307" max="12307" width="11.28515625" style="51" customWidth="1"/>
    <col min="12308" max="12308" width="15.28515625" style="51" customWidth="1"/>
    <col min="12309" max="12309" width="0.42578125" style="51" customWidth="1"/>
    <col min="12310" max="12311" width="11.42578125" style="51"/>
    <col min="12312" max="12312" width="6.85546875" style="51" customWidth="1"/>
    <col min="12313" max="12544" width="11.42578125" style="51"/>
    <col min="12545" max="12545" width="10.140625" style="51" customWidth="1"/>
    <col min="12546" max="12546" width="20" style="51" customWidth="1"/>
    <col min="12547" max="12547" width="2.85546875" style="51" customWidth="1"/>
    <col min="12548" max="12549" width="4.5703125" style="51" customWidth="1"/>
    <col min="12550" max="12550" width="5.5703125" style="51" customWidth="1"/>
    <col min="12551" max="12553" width="11" style="51" customWidth="1"/>
    <col min="12554" max="12554" width="15.28515625" style="51" customWidth="1"/>
    <col min="12555" max="12555" width="1" style="51" customWidth="1"/>
    <col min="12556" max="12556" width="20" style="51" customWidth="1"/>
    <col min="12557" max="12557" width="2.85546875" style="51" customWidth="1"/>
    <col min="12558" max="12558" width="5.5703125" style="51" customWidth="1"/>
    <col min="12559" max="12559" width="4.5703125" style="51" customWidth="1"/>
    <col min="12560" max="12560" width="5.5703125" style="51" customWidth="1"/>
    <col min="12561" max="12562" width="11" style="51" customWidth="1"/>
    <col min="12563" max="12563" width="11.28515625" style="51" customWidth="1"/>
    <col min="12564" max="12564" width="15.28515625" style="51" customWidth="1"/>
    <col min="12565" max="12565" width="0.42578125" style="51" customWidth="1"/>
    <col min="12566" max="12567" width="11.42578125" style="51"/>
    <col min="12568" max="12568" width="6.85546875" style="51" customWidth="1"/>
    <col min="12569" max="12800" width="11.42578125" style="51"/>
    <col min="12801" max="12801" width="10.140625" style="51" customWidth="1"/>
    <col min="12802" max="12802" width="20" style="51" customWidth="1"/>
    <col min="12803" max="12803" width="2.85546875" style="51" customWidth="1"/>
    <col min="12804" max="12805" width="4.5703125" style="51" customWidth="1"/>
    <col min="12806" max="12806" width="5.5703125" style="51" customWidth="1"/>
    <col min="12807" max="12809" width="11" style="51" customWidth="1"/>
    <col min="12810" max="12810" width="15.28515625" style="51" customWidth="1"/>
    <col min="12811" max="12811" width="1" style="51" customWidth="1"/>
    <col min="12812" max="12812" width="20" style="51" customWidth="1"/>
    <col min="12813" max="12813" width="2.85546875" style="51" customWidth="1"/>
    <col min="12814" max="12814" width="5.5703125" style="51" customWidth="1"/>
    <col min="12815" max="12815" width="4.5703125" style="51" customWidth="1"/>
    <col min="12816" max="12816" width="5.5703125" style="51" customWidth="1"/>
    <col min="12817" max="12818" width="11" style="51" customWidth="1"/>
    <col min="12819" max="12819" width="11.28515625" style="51" customWidth="1"/>
    <col min="12820" max="12820" width="15.28515625" style="51" customWidth="1"/>
    <col min="12821" max="12821" width="0.42578125" style="51" customWidth="1"/>
    <col min="12822" max="12823" width="11.42578125" style="51"/>
    <col min="12824" max="12824" width="6.85546875" style="51" customWidth="1"/>
    <col min="12825" max="13056" width="11.42578125" style="51"/>
    <col min="13057" max="13057" width="10.140625" style="51" customWidth="1"/>
    <col min="13058" max="13058" width="20" style="51" customWidth="1"/>
    <col min="13059" max="13059" width="2.85546875" style="51" customWidth="1"/>
    <col min="13060" max="13061" width="4.5703125" style="51" customWidth="1"/>
    <col min="13062" max="13062" width="5.5703125" style="51" customWidth="1"/>
    <col min="13063" max="13065" width="11" style="51" customWidth="1"/>
    <col min="13066" max="13066" width="15.28515625" style="51" customWidth="1"/>
    <col min="13067" max="13067" width="1" style="51" customWidth="1"/>
    <col min="13068" max="13068" width="20" style="51" customWidth="1"/>
    <col min="13069" max="13069" width="2.85546875" style="51" customWidth="1"/>
    <col min="13070" max="13070" width="5.5703125" style="51" customWidth="1"/>
    <col min="13071" max="13071" width="4.5703125" style="51" customWidth="1"/>
    <col min="13072" max="13072" width="5.5703125" style="51" customWidth="1"/>
    <col min="13073" max="13074" width="11" style="51" customWidth="1"/>
    <col min="13075" max="13075" width="11.28515625" style="51" customWidth="1"/>
    <col min="13076" max="13076" width="15.28515625" style="51" customWidth="1"/>
    <col min="13077" max="13077" width="0.42578125" style="51" customWidth="1"/>
    <col min="13078" max="13079" width="11.42578125" style="51"/>
    <col min="13080" max="13080" width="6.85546875" style="51" customWidth="1"/>
    <col min="13081" max="13312" width="11.42578125" style="51"/>
    <col min="13313" max="13313" width="10.140625" style="51" customWidth="1"/>
    <col min="13314" max="13314" width="20" style="51" customWidth="1"/>
    <col min="13315" max="13315" width="2.85546875" style="51" customWidth="1"/>
    <col min="13316" max="13317" width="4.5703125" style="51" customWidth="1"/>
    <col min="13318" max="13318" width="5.5703125" style="51" customWidth="1"/>
    <col min="13319" max="13321" width="11" style="51" customWidth="1"/>
    <col min="13322" max="13322" width="15.28515625" style="51" customWidth="1"/>
    <col min="13323" max="13323" width="1" style="51" customWidth="1"/>
    <col min="13324" max="13324" width="20" style="51" customWidth="1"/>
    <col min="13325" max="13325" width="2.85546875" style="51" customWidth="1"/>
    <col min="13326" max="13326" width="5.5703125" style="51" customWidth="1"/>
    <col min="13327" max="13327" width="4.5703125" style="51" customWidth="1"/>
    <col min="13328" max="13328" width="5.5703125" style="51" customWidth="1"/>
    <col min="13329" max="13330" width="11" style="51" customWidth="1"/>
    <col min="13331" max="13331" width="11.28515625" style="51" customWidth="1"/>
    <col min="13332" max="13332" width="15.28515625" style="51" customWidth="1"/>
    <col min="13333" max="13333" width="0.42578125" style="51" customWidth="1"/>
    <col min="13334" max="13335" width="11.42578125" style="51"/>
    <col min="13336" max="13336" width="6.85546875" style="51" customWidth="1"/>
    <col min="13337" max="13568" width="11.42578125" style="51"/>
    <col min="13569" max="13569" width="10.140625" style="51" customWidth="1"/>
    <col min="13570" max="13570" width="20" style="51" customWidth="1"/>
    <col min="13571" max="13571" width="2.85546875" style="51" customWidth="1"/>
    <col min="13572" max="13573" width="4.5703125" style="51" customWidth="1"/>
    <col min="13574" max="13574" width="5.5703125" style="51" customWidth="1"/>
    <col min="13575" max="13577" width="11" style="51" customWidth="1"/>
    <col min="13578" max="13578" width="15.28515625" style="51" customWidth="1"/>
    <col min="13579" max="13579" width="1" style="51" customWidth="1"/>
    <col min="13580" max="13580" width="20" style="51" customWidth="1"/>
    <col min="13581" max="13581" width="2.85546875" style="51" customWidth="1"/>
    <col min="13582" max="13582" width="5.5703125" style="51" customWidth="1"/>
    <col min="13583" max="13583" width="4.5703125" style="51" customWidth="1"/>
    <col min="13584" max="13584" width="5.5703125" style="51" customWidth="1"/>
    <col min="13585" max="13586" width="11" style="51" customWidth="1"/>
    <col min="13587" max="13587" width="11.28515625" style="51" customWidth="1"/>
    <col min="13588" max="13588" width="15.28515625" style="51" customWidth="1"/>
    <col min="13589" max="13589" width="0.42578125" style="51" customWidth="1"/>
    <col min="13590" max="13591" width="11.42578125" style="51"/>
    <col min="13592" max="13592" width="6.85546875" style="51" customWidth="1"/>
    <col min="13593" max="13824" width="11.42578125" style="51"/>
    <col min="13825" max="13825" width="10.140625" style="51" customWidth="1"/>
    <col min="13826" max="13826" width="20" style="51" customWidth="1"/>
    <col min="13827" max="13827" width="2.85546875" style="51" customWidth="1"/>
    <col min="13828" max="13829" width="4.5703125" style="51" customWidth="1"/>
    <col min="13830" max="13830" width="5.5703125" style="51" customWidth="1"/>
    <col min="13831" max="13833" width="11" style="51" customWidth="1"/>
    <col min="13834" max="13834" width="15.28515625" style="51" customWidth="1"/>
    <col min="13835" max="13835" width="1" style="51" customWidth="1"/>
    <col min="13836" max="13836" width="20" style="51" customWidth="1"/>
    <col min="13837" max="13837" width="2.85546875" style="51" customWidth="1"/>
    <col min="13838" max="13838" width="5.5703125" style="51" customWidth="1"/>
    <col min="13839" max="13839" width="4.5703125" style="51" customWidth="1"/>
    <col min="13840" max="13840" width="5.5703125" style="51" customWidth="1"/>
    <col min="13841" max="13842" width="11" style="51" customWidth="1"/>
    <col min="13843" max="13843" width="11.28515625" style="51" customWidth="1"/>
    <col min="13844" max="13844" width="15.28515625" style="51" customWidth="1"/>
    <col min="13845" max="13845" width="0.42578125" style="51" customWidth="1"/>
    <col min="13846" max="13847" width="11.42578125" style="51"/>
    <col min="13848" max="13848" width="6.85546875" style="51" customWidth="1"/>
    <col min="13849" max="14080" width="11.42578125" style="51"/>
    <col min="14081" max="14081" width="10.140625" style="51" customWidth="1"/>
    <col min="14082" max="14082" width="20" style="51" customWidth="1"/>
    <col min="14083" max="14083" width="2.85546875" style="51" customWidth="1"/>
    <col min="14084" max="14085" width="4.5703125" style="51" customWidth="1"/>
    <col min="14086" max="14086" width="5.5703125" style="51" customWidth="1"/>
    <col min="14087" max="14089" width="11" style="51" customWidth="1"/>
    <col min="14090" max="14090" width="15.28515625" style="51" customWidth="1"/>
    <col min="14091" max="14091" width="1" style="51" customWidth="1"/>
    <col min="14092" max="14092" width="20" style="51" customWidth="1"/>
    <col min="14093" max="14093" width="2.85546875" style="51" customWidth="1"/>
    <col min="14094" max="14094" width="5.5703125" style="51" customWidth="1"/>
    <col min="14095" max="14095" width="4.5703125" style="51" customWidth="1"/>
    <col min="14096" max="14096" width="5.5703125" style="51" customWidth="1"/>
    <col min="14097" max="14098" width="11" style="51" customWidth="1"/>
    <col min="14099" max="14099" width="11.28515625" style="51" customWidth="1"/>
    <col min="14100" max="14100" width="15.28515625" style="51" customWidth="1"/>
    <col min="14101" max="14101" width="0.42578125" style="51" customWidth="1"/>
    <col min="14102" max="14103" width="11.42578125" style="51"/>
    <col min="14104" max="14104" width="6.85546875" style="51" customWidth="1"/>
    <col min="14105" max="14336" width="11.42578125" style="51"/>
    <col min="14337" max="14337" width="10.140625" style="51" customWidth="1"/>
    <col min="14338" max="14338" width="20" style="51" customWidth="1"/>
    <col min="14339" max="14339" width="2.85546875" style="51" customWidth="1"/>
    <col min="14340" max="14341" width="4.5703125" style="51" customWidth="1"/>
    <col min="14342" max="14342" width="5.5703125" style="51" customWidth="1"/>
    <col min="14343" max="14345" width="11" style="51" customWidth="1"/>
    <col min="14346" max="14346" width="15.28515625" style="51" customWidth="1"/>
    <col min="14347" max="14347" width="1" style="51" customWidth="1"/>
    <col min="14348" max="14348" width="20" style="51" customWidth="1"/>
    <col min="14349" max="14349" width="2.85546875" style="51" customWidth="1"/>
    <col min="14350" max="14350" width="5.5703125" style="51" customWidth="1"/>
    <col min="14351" max="14351" width="4.5703125" style="51" customWidth="1"/>
    <col min="14352" max="14352" width="5.5703125" style="51" customWidth="1"/>
    <col min="14353" max="14354" width="11" style="51" customWidth="1"/>
    <col min="14355" max="14355" width="11.28515625" style="51" customWidth="1"/>
    <col min="14356" max="14356" width="15.28515625" style="51" customWidth="1"/>
    <col min="14357" max="14357" width="0.42578125" style="51" customWidth="1"/>
    <col min="14358" max="14359" width="11.42578125" style="51"/>
    <col min="14360" max="14360" width="6.85546875" style="51" customWidth="1"/>
    <col min="14361" max="14592" width="11.42578125" style="51"/>
    <col min="14593" max="14593" width="10.140625" style="51" customWidth="1"/>
    <col min="14594" max="14594" width="20" style="51" customWidth="1"/>
    <col min="14595" max="14595" width="2.85546875" style="51" customWidth="1"/>
    <col min="14596" max="14597" width="4.5703125" style="51" customWidth="1"/>
    <col min="14598" max="14598" width="5.5703125" style="51" customWidth="1"/>
    <col min="14599" max="14601" width="11" style="51" customWidth="1"/>
    <col min="14602" max="14602" width="15.28515625" style="51" customWidth="1"/>
    <col min="14603" max="14603" width="1" style="51" customWidth="1"/>
    <col min="14604" max="14604" width="20" style="51" customWidth="1"/>
    <col min="14605" max="14605" width="2.85546875" style="51" customWidth="1"/>
    <col min="14606" max="14606" width="5.5703125" style="51" customWidth="1"/>
    <col min="14607" max="14607" width="4.5703125" style="51" customWidth="1"/>
    <col min="14608" max="14608" width="5.5703125" style="51" customWidth="1"/>
    <col min="14609" max="14610" width="11" style="51" customWidth="1"/>
    <col min="14611" max="14611" width="11.28515625" style="51" customWidth="1"/>
    <col min="14612" max="14612" width="15.28515625" style="51" customWidth="1"/>
    <col min="14613" max="14613" width="0.42578125" style="51" customWidth="1"/>
    <col min="14614" max="14615" width="11.42578125" style="51"/>
    <col min="14616" max="14616" width="6.85546875" style="51" customWidth="1"/>
    <col min="14617" max="14848" width="11.42578125" style="51"/>
    <col min="14849" max="14849" width="10.140625" style="51" customWidth="1"/>
    <col min="14850" max="14850" width="20" style="51" customWidth="1"/>
    <col min="14851" max="14851" width="2.85546875" style="51" customWidth="1"/>
    <col min="14852" max="14853" width="4.5703125" style="51" customWidth="1"/>
    <col min="14854" max="14854" width="5.5703125" style="51" customWidth="1"/>
    <col min="14855" max="14857" width="11" style="51" customWidth="1"/>
    <col min="14858" max="14858" width="15.28515625" style="51" customWidth="1"/>
    <col min="14859" max="14859" width="1" style="51" customWidth="1"/>
    <col min="14860" max="14860" width="20" style="51" customWidth="1"/>
    <col min="14861" max="14861" width="2.85546875" style="51" customWidth="1"/>
    <col min="14862" max="14862" width="5.5703125" style="51" customWidth="1"/>
    <col min="14863" max="14863" width="4.5703125" style="51" customWidth="1"/>
    <col min="14864" max="14864" width="5.5703125" style="51" customWidth="1"/>
    <col min="14865" max="14866" width="11" style="51" customWidth="1"/>
    <col min="14867" max="14867" width="11.28515625" style="51" customWidth="1"/>
    <col min="14868" max="14868" width="15.28515625" style="51" customWidth="1"/>
    <col min="14869" max="14869" width="0.42578125" style="51" customWidth="1"/>
    <col min="14870" max="14871" width="11.42578125" style="51"/>
    <col min="14872" max="14872" width="6.85546875" style="51" customWidth="1"/>
    <col min="14873" max="15104" width="11.42578125" style="51"/>
    <col min="15105" max="15105" width="10.140625" style="51" customWidth="1"/>
    <col min="15106" max="15106" width="20" style="51" customWidth="1"/>
    <col min="15107" max="15107" width="2.85546875" style="51" customWidth="1"/>
    <col min="15108" max="15109" width="4.5703125" style="51" customWidth="1"/>
    <col min="15110" max="15110" width="5.5703125" style="51" customWidth="1"/>
    <col min="15111" max="15113" width="11" style="51" customWidth="1"/>
    <col min="15114" max="15114" width="15.28515625" style="51" customWidth="1"/>
    <col min="15115" max="15115" width="1" style="51" customWidth="1"/>
    <col min="15116" max="15116" width="20" style="51" customWidth="1"/>
    <col min="15117" max="15117" width="2.85546875" style="51" customWidth="1"/>
    <col min="15118" max="15118" width="5.5703125" style="51" customWidth="1"/>
    <col min="15119" max="15119" width="4.5703125" style="51" customWidth="1"/>
    <col min="15120" max="15120" width="5.5703125" style="51" customWidth="1"/>
    <col min="15121" max="15122" width="11" style="51" customWidth="1"/>
    <col min="15123" max="15123" width="11.28515625" style="51" customWidth="1"/>
    <col min="15124" max="15124" width="15.28515625" style="51" customWidth="1"/>
    <col min="15125" max="15125" width="0.42578125" style="51" customWidth="1"/>
    <col min="15126" max="15127" width="11.42578125" style="51"/>
    <col min="15128" max="15128" width="6.85546875" style="51" customWidth="1"/>
    <col min="15129" max="15360" width="11.42578125" style="51"/>
    <col min="15361" max="15361" width="10.140625" style="51" customWidth="1"/>
    <col min="15362" max="15362" width="20" style="51" customWidth="1"/>
    <col min="15363" max="15363" width="2.85546875" style="51" customWidth="1"/>
    <col min="15364" max="15365" width="4.5703125" style="51" customWidth="1"/>
    <col min="15366" max="15366" width="5.5703125" style="51" customWidth="1"/>
    <col min="15367" max="15369" width="11" style="51" customWidth="1"/>
    <col min="15370" max="15370" width="15.28515625" style="51" customWidth="1"/>
    <col min="15371" max="15371" width="1" style="51" customWidth="1"/>
    <col min="15372" max="15372" width="20" style="51" customWidth="1"/>
    <col min="15373" max="15373" width="2.85546875" style="51" customWidth="1"/>
    <col min="15374" max="15374" width="5.5703125" style="51" customWidth="1"/>
    <col min="15375" max="15375" width="4.5703125" style="51" customWidth="1"/>
    <col min="15376" max="15376" width="5.5703125" style="51" customWidth="1"/>
    <col min="15377" max="15378" width="11" style="51" customWidth="1"/>
    <col min="15379" max="15379" width="11.28515625" style="51" customWidth="1"/>
    <col min="15380" max="15380" width="15.28515625" style="51" customWidth="1"/>
    <col min="15381" max="15381" width="0.42578125" style="51" customWidth="1"/>
    <col min="15382" max="15383" width="11.42578125" style="51"/>
    <col min="15384" max="15384" width="6.85546875" style="51" customWidth="1"/>
    <col min="15385" max="15616" width="11.42578125" style="51"/>
    <col min="15617" max="15617" width="10.140625" style="51" customWidth="1"/>
    <col min="15618" max="15618" width="20" style="51" customWidth="1"/>
    <col min="15619" max="15619" width="2.85546875" style="51" customWidth="1"/>
    <col min="15620" max="15621" width="4.5703125" style="51" customWidth="1"/>
    <col min="15622" max="15622" width="5.5703125" style="51" customWidth="1"/>
    <col min="15623" max="15625" width="11" style="51" customWidth="1"/>
    <col min="15626" max="15626" width="15.28515625" style="51" customWidth="1"/>
    <col min="15627" max="15627" width="1" style="51" customWidth="1"/>
    <col min="15628" max="15628" width="20" style="51" customWidth="1"/>
    <col min="15629" max="15629" width="2.85546875" style="51" customWidth="1"/>
    <col min="15630" max="15630" width="5.5703125" style="51" customWidth="1"/>
    <col min="15631" max="15631" width="4.5703125" style="51" customWidth="1"/>
    <col min="15632" max="15632" width="5.5703125" style="51" customWidth="1"/>
    <col min="15633" max="15634" width="11" style="51" customWidth="1"/>
    <col min="15635" max="15635" width="11.28515625" style="51" customWidth="1"/>
    <col min="15636" max="15636" width="15.28515625" style="51" customWidth="1"/>
    <col min="15637" max="15637" width="0.42578125" style="51" customWidth="1"/>
    <col min="15638" max="15639" width="11.42578125" style="51"/>
    <col min="15640" max="15640" width="6.85546875" style="51" customWidth="1"/>
    <col min="15641" max="15872" width="11.42578125" style="51"/>
    <col min="15873" max="15873" width="10.140625" style="51" customWidth="1"/>
    <col min="15874" max="15874" width="20" style="51" customWidth="1"/>
    <col min="15875" max="15875" width="2.85546875" style="51" customWidth="1"/>
    <col min="15876" max="15877" width="4.5703125" style="51" customWidth="1"/>
    <col min="15878" max="15878" width="5.5703125" style="51" customWidth="1"/>
    <col min="15879" max="15881" width="11" style="51" customWidth="1"/>
    <col min="15882" max="15882" width="15.28515625" style="51" customWidth="1"/>
    <col min="15883" max="15883" width="1" style="51" customWidth="1"/>
    <col min="15884" max="15884" width="20" style="51" customWidth="1"/>
    <col min="15885" max="15885" width="2.85546875" style="51" customWidth="1"/>
    <col min="15886" max="15886" width="5.5703125" style="51" customWidth="1"/>
    <col min="15887" max="15887" width="4.5703125" style="51" customWidth="1"/>
    <col min="15888" max="15888" width="5.5703125" style="51" customWidth="1"/>
    <col min="15889" max="15890" width="11" style="51" customWidth="1"/>
    <col min="15891" max="15891" width="11.28515625" style="51" customWidth="1"/>
    <col min="15892" max="15892" width="15.28515625" style="51" customWidth="1"/>
    <col min="15893" max="15893" width="0.42578125" style="51" customWidth="1"/>
    <col min="15894" max="15895" width="11.42578125" style="51"/>
    <col min="15896" max="15896" width="6.85546875" style="51" customWidth="1"/>
    <col min="15897" max="16128" width="11.42578125" style="51"/>
    <col min="16129" max="16129" width="10.140625" style="51" customWidth="1"/>
    <col min="16130" max="16130" width="20" style="51" customWidth="1"/>
    <col min="16131" max="16131" width="2.85546875" style="51" customWidth="1"/>
    <col min="16132" max="16133" width="4.5703125" style="51" customWidth="1"/>
    <col min="16134" max="16134" width="5.5703125" style="51" customWidth="1"/>
    <col min="16135" max="16137" width="11" style="51" customWidth="1"/>
    <col min="16138" max="16138" width="15.28515625" style="51" customWidth="1"/>
    <col min="16139" max="16139" width="1" style="51" customWidth="1"/>
    <col min="16140" max="16140" width="20" style="51" customWidth="1"/>
    <col min="16141" max="16141" width="2.85546875" style="51" customWidth="1"/>
    <col min="16142" max="16142" width="5.5703125" style="51" customWidth="1"/>
    <col min="16143" max="16143" width="4.5703125" style="51" customWidth="1"/>
    <col min="16144" max="16144" width="5.5703125" style="51" customWidth="1"/>
    <col min="16145" max="16146" width="11" style="51" customWidth="1"/>
    <col min="16147" max="16147" width="11.28515625" style="51" customWidth="1"/>
    <col min="16148" max="16148" width="15.28515625" style="51" customWidth="1"/>
    <col min="16149" max="16149" width="0.42578125" style="51" customWidth="1"/>
    <col min="16150" max="16151" width="11.42578125" style="51"/>
    <col min="16152" max="16152" width="6.85546875" style="51" customWidth="1"/>
    <col min="16153" max="16384" width="11.42578125" style="51"/>
  </cols>
  <sheetData>
    <row r="1" spans="2:30" ht="21.75" thickBot="1" x14ac:dyDescent="0.3">
      <c r="B1" s="164" t="s">
        <v>92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2:30" ht="29.25" thickBot="1" x14ac:dyDescent="0.3">
      <c r="B2" s="48" t="s">
        <v>0</v>
      </c>
      <c r="C2" s="52"/>
      <c r="D2" s="53">
        <v>7</v>
      </c>
      <c r="E2" s="54"/>
      <c r="F2" s="55"/>
      <c r="G2" s="55"/>
      <c r="H2" s="56"/>
      <c r="I2" s="56"/>
      <c r="J2" s="56"/>
      <c r="K2" s="57"/>
      <c r="L2" s="56"/>
      <c r="M2" s="58"/>
      <c r="N2" s="58"/>
      <c r="O2" s="58"/>
      <c r="P2" s="56"/>
      <c r="Q2" s="59" t="s">
        <v>93</v>
      </c>
      <c r="R2" s="59"/>
      <c r="S2" s="60">
        <v>15</v>
      </c>
      <c r="T2" s="56"/>
    </row>
    <row r="3" spans="2:30" ht="19.5" thickBot="1" x14ac:dyDescent="0.3">
      <c r="B3" s="48" t="s">
        <v>1</v>
      </c>
      <c r="C3" s="61"/>
      <c r="D3" s="62"/>
      <c r="E3" s="63"/>
      <c r="F3" s="64"/>
      <c r="G3" s="65">
        <v>46309</v>
      </c>
      <c r="H3" s="56"/>
      <c r="I3" s="56"/>
      <c r="J3" s="56"/>
      <c r="K3" s="57"/>
      <c r="L3" s="56"/>
      <c r="M3" s="58"/>
      <c r="N3" s="58"/>
      <c r="O3" s="58"/>
      <c r="P3" s="56"/>
      <c r="Q3" s="59" t="s">
        <v>94</v>
      </c>
      <c r="R3" s="59"/>
      <c r="S3" s="60">
        <v>7.5</v>
      </c>
      <c r="T3" s="56"/>
    </row>
    <row r="4" spans="2:30" ht="32.25" thickBot="1" x14ac:dyDescent="0.3">
      <c r="B4" s="48" t="s">
        <v>95</v>
      </c>
      <c r="C4" s="52"/>
      <c r="D4" s="66">
        <v>3</v>
      </c>
      <c r="E4" s="67"/>
      <c r="F4" s="56"/>
      <c r="G4" s="56"/>
      <c r="H4" s="56"/>
      <c r="I4" s="56"/>
      <c r="J4" s="56"/>
      <c r="K4" s="57"/>
      <c r="L4" s="68" t="s">
        <v>95</v>
      </c>
      <c r="M4" s="69"/>
      <c r="N4" s="70">
        <v>4</v>
      </c>
      <c r="O4" s="71"/>
      <c r="P4" s="56"/>
      <c r="Q4" s="56"/>
      <c r="R4" s="56"/>
      <c r="S4" s="56"/>
      <c r="T4" s="56"/>
    </row>
    <row r="5" spans="2:30" ht="32.25" thickBot="1" x14ac:dyDescent="0.3">
      <c r="B5" s="48" t="s">
        <v>96</v>
      </c>
      <c r="C5" s="61"/>
      <c r="D5" s="72"/>
      <c r="E5" s="73"/>
      <c r="F5" s="74"/>
      <c r="G5" s="70" t="s">
        <v>51</v>
      </c>
      <c r="H5" s="74"/>
      <c r="I5" s="74"/>
      <c r="J5" s="75"/>
      <c r="K5" s="57"/>
      <c r="L5" s="68" t="s">
        <v>96</v>
      </c>
      <c r="M5" s="69"/>
      <c r="N5" s="73"/>
      <c r="O5" s="73"/>
      <c r="P5" s="74"/>
      <c r="Q5" s="70" t="s">
        <v>204</v>
      </c>
      <c r="R5" s="74"/>
      <c r="S5" s="74"/>
      <c r="T5" s="75"/>
    </row>
    <row r="6" spans="2:30" ht="21" x14ac:dyDescent="0.25">
      <c r="B6" s="76" t="s">
        <v>97</v>
      </c>
      <c r="C6" s="77"/>
      <c r="D6" s="78"/>
      <c r="E6" s="79"/>
      <c r="F6" s="165"/>
      <c r="G6" s="165"/>
      <c r="H6" s="165"/>
      <c r="I6" s="165"/>
      <c r="J6" s="165"/>
      <c r="K6" s="80"/>
      <c r="L6" s="76" t="s">
        <v>97</v>
      </c>
      <c r="M6" s="79"/>
      <c r="N6" s="81"/>
      <c r="O6" s="79"/>
      <c r="P6" s="165"/>
      <c r="Q6" s="165"/>
      <c r="R6" s="165"/>
      <c r="S6" s="165"/>
      <c r="T6" s="165"/>
    </row>
    <row r="7" spans="2:30" ht="33" x14ac:dyDescent="0.25">
      <c r="B7" s="82" t="s">
        <v>98</v>
      </c>
      <c r="C7" s="83" t="s">
        <v>99</v>
      </c>
      <c r="D7" s="84" t="s">
        <v>100</v>
      </c>
      <c r="E7" s="85" t="s">
        <v>101</v>
      </c>
      <c r="F7" s="86" t="s">
        <v>102</v>
      </c>
      <c r="G7" s="87" t="s">
        <v>103</v>
      </c>
      <c r="H7" s="87" t="s">
        <v>104</v>
      </c>
      <c r="I7" s="87" t="s">
        <v>105</v>
      </c>
      <c r="J7" s="87" t="s">
        <v>106</v>
      </c>
      <c r="K7" s="56" t="s">
        <v>107</v>
      </c>
      <c r="L7" s="82" t="s">
        <v>98</v>
      </c>
      <c r="M7" s="83" t="s">
        <v>99</v>
      </c>
      <c r="N7" s="84" t="s">
        <v>100</v>
      </c>
      <c r="O7" s="85" t="s">
        <v>101</v>
      </c>
      <c r="P7" s="86" t="s">
        <v>102</v>
      </c>
      <c r="Q7" s="87" t="s">
        <v>103</v>
      </c>
      <c r="R7" s="87" t="s">
        <v>104</v>
      </c>
      <c r="S7" s="87" t="s">
        <v>105</v>
      </c>
      <c r="T7" s="87" t="s">
        <v>106</v>
      </c>
      <c r="U7" s="56" t="s">
        <v>107</v>
      </c>
      <c r="AA7" s="86"/>
      <c r="AB7" s="88"/>
      <c r="AC7" s="85"/>
      <c r="AD7" s="89"/>
    </row>
    <row r="8" spans="2:30" ht="31.5" x14ac:dyDescent="0.25">
      <c r="B8" s="91" t="s">
        <v>52</v>
      </c>
      <c r="C8" s="92">
        <v>170</v>
      </c>
      <c r="D8" s="93">
        <v>24</v>
      </c>
      <c r="E8" s="94">
        <v>15</v>
      </c>
      <c r="F8" s="90"/>
      <c r="G8" s="90"/>
      <c r="H8" s="90"/>
      <c r="I8" s="90"/>
      <c r="J8" s="90"/>
      <c r="K8" s="95"/>
      <c r="L8" s="96" t="s">
        <v>130</v>
      </c>
      <c r="M8" s="125">
        <v>186</v>
      </c>
      <c r="N8" s="126">
        <v>11</v>
      </c>
      <c r="O8" s="98">
        <v>18</v>
      </c>
      <c r="P8" s="90"/>
      <c r="Q8" s="90"/>
      <c r="R8" s="90"/>
      <c r="S8" s="90"/>
      <c r="T8" s="90"/>
      <c r="U8" s="90"/>
    </row>
    <row r="9" spans="2:30" ht="31.5" x14ac:dyDescent="0.25">
      <c r="B9" s="91" t="s">
        <v>53</v>
      </c>
      <c r="C9" s="92">
        <v>145</v>
      </c>
      <c r="D9" s="93">
        <v>44</v>
      </c>
      <c r="E9" s="94">
        <v>9</v>
      </c>
      <c r="F9" s="90"/>
      <c r="G9" s="90"/>
      <c r="H9" s="90"/>
      <c r="I9" s="90"/>
      <c r="J9" s="90"/>
      <c r="K9" s="95"/>
      <c r="L9" s="127" t="s">
        <v>131</v>
      </c>
      <c r="M9" s="125">
        <v>168</v>
      </c>
      <c r="N9" s="126">
        <v>26</v>
      </c>
      <c r="O9" s="98">
        <v>15</v>
      </c>
      <c r="P9" s="90"/>
      <c r="Q9" s="90"/>
      <c r="R9" s="90"/>
      <c r="S9" s="90"/>
      <c r="T9" s="90"/>
      <c r="U9" s="90"/>
    </row>
    <row r="10" spans="2:30" ht="31.5" x14ac:dyDescent="0.25">
      <c r="B10" s="91" t="s">
        <v>29</v>
      </c>
      <c r="C10" s="92">
        <v>162</v>
      </c>
      <c r="D10" s="93">
        <v>30</v>
      </c>
      <c r="E10" s="94">
        <v>9</v>
      </c>
      <c r="F10" s="90"/>
      <c r="G10" s="90"/>
      <c r="H10" s="90"/>
      <c r="I10" s="90"/>
      <c r="J10" s="90"/>
      <c r="K10" s="95"/>
      <c r="L10" s="96" t="s">
        <v>132</v>
      </c>
      <c r="M10" s="125">
        <v>171</v>
      </c>
      <c r="N10" s="126">
        <v>23</v>
      </c>
      <c r="O10" s="98">
        <v>18</v>
      </c>
      <c r="P10" s="90"/>
      <c r="Q10" s="90"/>
      <c r="R10" s="90"/>
      <c r="S10" s="90"/>
      <c r="T10" s="90"/>
      <c r="U10" s="90"/>
    </row>
    <row r="11" spans="2:30" ht="31.5" x14ac:dyDescent="0.25">
      <c r="B11" s="91" t="s">
        <v>54</v>
      </c>
      <c r="C11" s="92">
        <v>176</v>
      </c>
      <c r="D11" s="93">
        <v>19</v>
      </c>
      <c r="E11" s="94">
        <v>6</v>
      </c>
      <c r="F11" s="90"/>
      <c r="G11" s="90"/>
      <c r="H11" s="90"/>
      <c r="I11" s="90"/>
      <c r="J11" s="90"/>
      <c r="K11" s="95"/>
      <c r="L11" s="96" t="s">
        <v>42</v>
      </c>
      <c r="M11" s="104">
        <v>181</v>
      </c>
      <c r="N11" s="97">
        <v>15</v>
      </c>
      <c r="O11" s="98">
        <v>12</v>
      </c>
      <c r="P11" s="90"/>
      <c r="Q11" s="90"/>
      <c r="R11" s="90"/>
      <c r="S11" s="90"/>
      <c r="T11" s="90"/>
      <c r="U11" s="90"/>
    </row>
    <row r="12" spans="2:30" ht="31.5" x14ac:dyDescent="0.25">
      <c r="B12" s="91" t="s">
        <v>55</v>
      </c>
      <c r="C12" s="92">
        <v>163</v>
      </c>
      <c r="D12" s="93">
        <v>30</v>
      </c>
      <c r="E12" s="94">
        <v>15</v>
      </c>
      <c r="F12" s="90"/>
      <c r="G12" s="90"/>
      <c r="H12" s="90"/>
      <c r="I12" s="90"/>
      <c r="J12" s="90"/>
      <c r="K12" s="95"/>
      <c r="L12" s="96" t="s">
        <v>227</v>
      </c>
      <c r="M12" s="104">
        <v>160</v>
      </c>
      <c r="N12" s="97">
        <v>32</v>
      </c>
      <c r="O12" s="98">
        <v>6</v>
      </c>
      <c r="P12" s="90"/>
      <c r="Q12" s="90"/>
      <c r="R12" s="90"/>
      <c r="S12" s="90"/>
      <c r="T12" s="90"/>
      <c r="U12" s="90"/>
    </row>
    <row r="13" spans="2:30" ht="31.5" x14ac:dyDescent="0.25">
      <c r="B13" s="91" t="s">
        <v>56</v>
      </c>
      <c r="C13" s="92">
        <v>144</v>
      </c>
      <c r="D13" s="93">
        <v>45</v>
      </c>
      <c r="E13" s="94">
        <v>12</v>
      </c>
      <c r="F13" s="90"/>
      <c r="G13" s="90"/>
      <c r="H13" s="90"/>
      <c r="I13" s="90"/>
      <c r="J13" s="90"/>
      <c r="K13" s="95"/>
      <c r="L13" s="96" t="s">
        <v>140</v>
      </c>
      <c r="M13" s="104">
        <v>178</v>
      </c>
      <c r="N13" s="97">
        <v>18</v>
      </c>
      <c r="O13" s="98">
        <v>3</v>
      </c>
      <c r="P13" s="90"/>
      <c r="Q13" s="90"/>
      <c r="R13" s="90"/>
      <c r="S13" s="90"/>
      <c r="T13" s="90"/>
      <c r="U13" s="90"/>
    </row>
    <row r="14" spans="2:30" ht="31.5" x14ac:dyDescent="0.25">
      <c r="B14" s="91"/>
      <c r="C14" s="92"/>
      <c r="D14" s="93"/>
      <c r="E14" s="94"/>
      <c r="F14" s="90"/>
      <c r="G14" s="102"/>
      <c r="H14" s="102"/>
      <c r="I14" s="90"/>
      <c r="J14" s="90"/>
      <c r="K14" s="160"/>
      <c r="P14" s="120"/>
      <c r="Q14" s="90"/>
      <c r="R14" s="90"/>
      <c r="S14" s="90"/>
      <c r="T14" s="90"/>
      <c r="U14" s="90"/>
    </row>
    <row r="15" spans="2:30" ht="32.25" thickBot="1" x14ac:dyDescent="0.3">
      <c r="B15" s="96"/>
      <c r="C15" s="104"/>
      <c r="D15" s="97"/>
      <c r="E15" s="98"/>
      <c r="P15" s="120" t="s">
        <v>109</v>
      </c>
      <c r="Q15" s="90"/>
      <c r="R15" s="90"/>
      <c r="S15" s="90"/>
      <c r="T15" s="90"/>
    </row>
    <row r="16" spans="2:30" ht="32.25" thickBot="1" x14ac:dyDescent="0.3">
      <c r="B16" s="106" t="s">
        <v>110</v>
      </c>
      <c r="G16" s="96"/>
      <c r="H16" s="96"/>
      <c r="I16" s="121"/>
      <c r="J16" s="96"/>
    </row>
    <row r="17" spans="2:20" ht="31.5" x14ac:dyDescent="0.25">
      <c r="B17" s="107" t="s">
        <v>111</v>
      </c>
      <c r="G17" s="96"/>
      <c r="H17" s="96"/>
      <c r="I17" s="121"/>
      <c r="J17" s="96"/>
      <c r="L17" s="106" t="s">
        <v>110</v>
      </c>
      <c r="Q17" s="96"/>
      <c r="R17" s="96"/>
      <c r="S17" s="96"/>
      <c r="T17" s="96"/>
    </row>
    <row r="18" spans="2:20" ht="31.5" x14ac:dyDescent="0.25">
      <c r="B18" s="107" t="s">
        <v>112</v>
      </c>
      <c r="G18" s="96"/>
      <c r="H18" s="96"/>
      <c r="I18" s="121"/>
      <c r="J18" s="96"/>
      <c r="L18" s="107" t="s">
        <v>111</v>
      </c>
      <c r="Q18" s="96"/>
      <c r="R18" s="96"/>
      <c r="S18" s="96"/>
      <c r="T18" s="96"/>
    </row>
    <row r="19" spans="2:20" ht="31.5" x14ac:dyDescent="0.25">
      <c r="B19" s="107" t="s">
        <v>113</v>
      </c>
      <c r="F19" s="109"/>
      <c r="G19" s="96"/>
      <c r="H19" s="96"/>
      <c r="I19" s="121"/>
      <c r="J19" s="96"/>
      <c r="L19" s="107" t="s">
        <v>112</v>
      </c>
      <c r="Q19" s="108"/>
      <c r="R19" s="108"/>
      <c r="S19" s="96"/>
      <c r="T19" s="96"/>
    </row>
    <row r="20" spans="2:20" ht="31.5" x14ac:dyDescent="0.25">
      <c r="B20" s="107" t="s">
        <v>114</v>
      </c>
      <c r="G20" s="110"/>
      <c r="H20" s="110"/>
      <c r="I20" s="110"/>
      <c r="J20" s="96"/>
      <c r="L20" s="107" t="s">
        <v>113</v>
      </c>
      <c r="P20" s="109"/>
      <c r="Q20" s="96"/>
      <c r="R20" s="96"/>
      <c r="S20" s="96"/>
      <c r="T20" s="96"/>
    </row>
    <row r="21" spans="2:20" ht="32.25" thickBot="1" x14ac:dyDescent="0.3">
      <c r="B21" s="111" t="s">
        <v>115</v>
      </c>
      <c r="G21" s="110"/>
      <c r="H21" s="110"/>
      <c r="I21" s="110"/>
      <c r="J21" s="96"/>
      <c r="L21" s="107" t="s">
        <v>114</v>
      </c>
      <c r="Q21" s="110"/>
      <c r="R21" s="110"/>
      <c r="S21" s="110"/>
      <c r="T21" s="96"/>
    </row>
    <row r="23" spans="2:20" x14ac:dyDescent="0.25">
      <c r="B23" s="51" t="s">
        <v>116</v>
      </c>
      <c r="F23" s="112"/>
      <c r="G23" s="112"/>
      <c r="H23" s="112"/>
      <c r="I23" s="112"/>
      <c r="J23" s="112"/>
      <c r="L23" s="51" t="s">
        <v>116</v>
      </c>
      <c r="P23" s="112"/>
      <c r="Q23" s="112"/>
      <c r="R23" s="112"/>
      <c r="S23" s="112"/>
      <c r="T23" s="112"/>
    </row>
    <row r="25" spans="2:20" x14ac:dyDescent="0.25">
      <c r="B25" s="113" t="s">
        <v>117</v>
      </c>
      <c r="C25" s="114"/>
      <c r="D25" s="114"/>
      <c r="E25" s="115"/>
      <c r="F25" s="113"/>
      <c r="G25" s="113"/>
      <c r="H25" s="113"/>
      <c r="I25" s="113"/>
      <c r="J25" s="113"/>
      <c r="K25" s="116"/>
      <c r="L25" s="113"/>
      <c r="M25" s="115"/>
      <c r="N25" s="115"/>
      <c r="O25" s="115"/>
      <c r="P25" s="113"/>
      <c r="Q25" s="113"/>
      <c r="R25" s="113"/>
      <c r="S25" s="113"/>
    </row>
    <row r="26" spans="2:20" x14ac:dyDescent="0.25">
      <c r="B26" s="113"/>
      <c r="C26" s="114"/>
      <c r="D26" s="114"/>
      <c r="E26" s="115"/>
      <c r="F26" s="113"/>
      <c r="G26" s="113"/>
      <c r="H26" s="113"/>
      <c r="I26" s="113"/>
      <c r="J26" s="113"/>
      <c r="K26" s="116"/>
      <c r="L26" s="113"/>
      <c r="M26" s="115"/>
      <c r="N26" s="115"/>
      <c r="O26" s="115"/>
      <c r="P26" s="113"/>
      <c r="Q26" s="113"/>
      <c r="R26" s="113"/>
      <c r="S26" s="113"/>
    </row>
    <row r="27" spans="2:20" ht="21" x14ac:dyDescent="0.25">
      <c r="B27" s="117" t="s">
        <v>118</v>
      </c>
      <c r="C27" s="118"/>
      <c r="D27" s="118">
        <v>1</v>
      </c>
      <c r="E27" s="117" t="s">
        <v>119</v>
      </c>
      <c r="F27" s="117"/>
      <c r="L27" s="117" t="s">
        <v>120</v>
      </c>
      <c r="M27" s="117"/>
      <c r="N27" s="117">
        <v>4</v>
      </c>
      <c r="O27" s="117" t="s">
        <v>119</v>
      </c>
      <c r="P27" s="117"/>
    </row>
    <row r="28" spans="2:20" ht="21" x14ac:dyDescent="0.25">
      <c r="B28" s="117" t="s">
        <v>121</v>
      </c>
      <c r="C28" s="118"/>
      <c r="D28" s="118">
        <v>2</v>
      </c>
      <c r="E28" s="117" t="s">
        <v>82</v>
      </c>
      <c r="F28" s="117"/>
      <c r="L28" s="117" t="s">
        <v>122</v>
      </c>
      <c r="M28" s="117"/>
      <c r="N28" s="117">
        <v>5</v>
      </c>
      <c r="O28" s="117" t="s">
        <v>82</v>
      </c>
      <c r="P28" s="117"/>
    </row>
    <row r="29" spans="2:20" ht="21" x14ac:dyDescent="0.25">
      <c r="B29" s="117" t="s">
        <v>123</v>
      </c>
      <c r="C29" s="118"/>
      <c r="D29" s="118">
        <v>3</v>
      </c>
      <c r="E29" s="117" t="s">
        <v>82</v>
      </c>
      <c r="F29" s="117"/>
      <c r="L29" s="117" t="s">
        <v>124</v>
      </c>
      <c r="M29" s="117"/>
      <c r="N29" s="117">
        <v>6</v>
      </c>
      <c r="O29" s="117" t="s">
        <v>82</v>
      </c>
      <c r="P29" s="117"/>
    </row>
  </sheetData>
  <mergeCells count="3">
    <mergeCell ref="B1:R1"/>
    <mergeCell ref="F6:J6"/>
    <mergeCell ref="P6:T6"/>
  </mergeCells>
  <pageMargins left="0.7" right="0.7" top="0.78740157499999996" bottom="0.78740157499999996" header="0.3" footer="0.3"/>
  <pageSetup paperSize="9" scale="5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29"/>
  <sheetViews>
    <sheetView workbookViewId="0">
      <selection activeCell="E11" sqref="E11"/>
    </sheetView>
  </sheetViews>
  <sheetFormatPr baseColWidth="10" defaultRowHeight="18.75" x14ac:dyDescent="0.25"/>
  <cols>
    <col min="1" max="1" width="2.28515625" style="51" customWidth="1"/>
    <col min="2" max="2" width="20" style="51" customWidth="1"/>
    <col min="3" max="3" width="6.42578125" style="100" customWidth="1"/>
    <col min="4" max="4" width="7.42578125" style="100" customWidth="1"/>
    <col min="5" max="5" width="6.42578125" style="101" customWidth="1"/>
    <col min="6" max="6" width="4" style="51" customWidth="1"/>
    <col min="7" max="9" width="12.140625" style="51" customWidth="1"/>
    <col min="10" max="10" width="15.28515625" style="51" customWidth="1"/>
    <col min="11" max="11" width="15.28515625" style="105" customWidth="1"/>
    <col min="12" max="12" width="20" style="51" customWidth="1"/>
    <col min="13" max="13" width="7.85546875" style="101" customWidth="1"/>
    <col min="14" max="14" width="7.42578125" style="101" customWidth="1"/>
    <col min="15" max="15" width="6.28515625" style="101" customWidth="1"/>
    <col min="16" max="16" width="4" style="51" customWidth="1"/>
    <col min="17" max="19" width="12.140625" style="51" customWidth="1"/>
    <col min="20" max="21" width="15.28515625" style="51" customWidth="1"/>
    <col min="22" max="23" width="11.42578125" style="51"/>
    <col min="24" max="24" width="6.85546875" style="51" customWidth="1"/>
    <col min="25" max="256" width="11.42578125" style="51"/>
    <col min="257" max="257" width="10.140625" style="51" customWidth="1"/>
    <col min="258" max="258" width="20" style="51" customWidth="1"/>
    <col min="259" max="259" width="2.85546875" style="51" customWidth="1"/>
    <col min="260" max="261" width="4.5703125" style="51" customWidth="1"/>
    <col min="262" max="262" width="5.5703125" style="51" customWidth="1"/>
    <col min="263" max="265" width="11" style="51" customWidth="1"/>
    <col min="266" max="266" width="15.28515625" style="51" customWidth="1"/>
    <col min="267" max="267" width="1" style="51" customWidth="1"/>
    <col min="268" max="268" width="20" style="51" customWidth="1"/>
    <col min="269" max="269" width="2.85546875" style="51" customWidth="1"/>
    <col min="270" max="270" width="5.5703125" style="51" customWidth="1"/>
    <col min="271" max="271" width="4.5703125" style="51" customWidth="1"/>
    <col min="272" max="272" width="5.5703125" style="51" customWidth="1"/>
    <col min="273" max="274" width="11" style="51" customWidth="1"/>
    <col min="275" max="275" width="11.28515625" style="51" customWidth="1"/>
    <col min="276" max="276" width="15.28515625" style="51" customWidth="1"/>
    <col min="277" max="277" width="0.42578125" style="51" customWidth="1"/>
    <col min="278" max="279" width="11.42578125" style="51"/>
    <col min="280" max="280" width="6.85546875" style="51" customWidth="1"/>
    <col min="281" max="512" width="11.42578125" style="51"/>
    <col min="513" max="513" width="10.140625" style="51" customWidth="1"/>
    <col min="514" max="514" width="20" style="51" customWidth="1"/>
    <col min="515" max="515" width="2.85546875" style="51" customWidth="1"/>
    <col min="516" max="517" width="4.5703125" style="51" customWidth="1"/>
    <col min="518" max="518" width="5.5703125" style="51" customWidth="1"/>
    <col min="519" max="521" width="11" style="51" customWidth="1"/>
    <col min="522" max="522" width="15.28515625" style="51" customWidth="1"/>
    <col min="523" max="523" width="1" style="51" customWidth="1"/>
    <col min="524" max="524" width="20" style="51" customWidth="1"/>
    <col min="525" max="525" width="2.85546875" style="51" customWidth="1"/>
    <col min="526" max="526" width="5.5703125" style="51" customWidth="1"/>
    <col min="527" max="527" width="4.5703125" style="51" customWidth="1"/>
    <col min="528" max="528" width="5.5703125" style="51" customWidth="1"/>
    <col min="529" max="530" width="11" style="51" customWidth="1"/>
    <col min="531" max="531" width="11.28515625" style="51" customWidth="1"/>
    <col min="532" max="532" width="15.28515625" style="51" customWidth="1"/>
    <col min="533" max="533" width="0.42578125" style="51" customWidth="1"/>
    <col min="534" max="535" width="11.42578125" style="51"/>
    <col min="536" max="536" width="6.85546875" style="51" customWidth="1"/>
    <col min="537" max="768" width="11.42578125" style="51"/>
    <col min="769" max="769" width="10.140625" style="51" customWidth="1"/>
    <col min="770" max="770" width="20" style="51" customWidth="1"/>
    <col min="771" max="771" width="2.85546875" style="51" customWidth="1"/>
    <col min="772" max="773" width="4.5703125" style="51" customWidth="1"/>
    <col min="774" max="774" width="5.5703125" style="51" customWidth="1"/>
    <col min="775" max="777" width="11" style="51" customWidth="1"/>
    <col min="778" max="778" width="15.28515625" style="51" customWidth="1"/>
    <col min="779" max="779" width="1" style="51" customWidth="1"/>
    <col min="780" max="780" width="20" style="51" customWidth="1"/>
    <col min="781" max="781" width="2.85546875" style="51" customWidth="1"/>
    <col min="782" max="782" width="5.5703125" style="51" customWidth="1"/>
    <col min="783" max="783" width="4.5703125" style="51" customWidth="1"/>
    <col min="784" max="784" width="5.5703125" style="51" customWidth="1"/>
    <col min="785" max="786" width="11" style="51" customWidth="1"/>
    <col min="787" max="787" width="11.28515625" style="51" customWidth="1"/>
    <col min="788" max="788" width="15.28515625" style="51" customWidth="1"/>
    <col min="789" max="789" width="0.42578125" style="51" customWidth="1"/>
    <col min="790" max="791" width="11.42578125" style="51"/>
    <col min="792" max="792" width="6.85546875" style="51" customWidth="1"/>
    <col min="793" max="1024" width="11.42578125" style="51"/>
    <col min="1025" max="1025" width="10.140625" style="51" customWidth="1"/>
    <col min="1026" max="1026" width="20" style="51" customWidth="1"/>
    <col min="1027" max="1027" width="2.85546875" style="51" customWidth="1"/>
    <col min="1028" max="1029" width="4.5703125" style="51" customWidth="1"/>
    <col min="1030" max="1030" width="5.5703125" style="51" customWidth="1"/>
    <col min="1031" max="1033" width="11" style="51" customWidth="1"/>
    <col min="1034" max="1034" width="15.28515625" style="51" customWidth="1"/>
    <col min="1035" max="1035" width="1" style="51" customWidth="1"/>
    <col min="1036" max="1036" width="20" style="51" customWidth="1"/>
    <col min="1037" max="1037" width="2.85546875" style="51" customWidth="1"/>
    <col min="1038" max="1038" width="5.5703125" style="51" customWidth="1"/>
    <col min="1039" max="1039" width="4.5703125" style="51" customWidth="1"/>
    <col min="1040" max="1040" width="5.5703125" style="51" customWidth="1"/>
    <col min="1041" max="1042" width="11" style="51" customWidth="1"/>
    <col min="1043" max="1043" width="11.28515625" style="51" customWidth="1"/>
    <col min="1044" max="1044" width="15.28515625" style="51" customWidth="1"/>
    <col min="1045" max="1045" width="0.42578125" style="51" customWidth="1"/>
    <col min="1046" max="1047" width="11.42578125" style="51"/>
    <col min="1048" max="1048" width="6.85546875" style="51" customWidth="1"/>
    <col min="1049" max="1280" width="11.42578125" style="51"/>
    <col min="1281" max="1281" width="10.140625" style="51" customWidth="1"/>
    <col min="1282" max="1282" width="20" style="51" customWidth="1"/>
    <col min="1283" max="1283" width="2.85546875" style="51" customWidth="1"/>
    <col min="1284" max="1285" width="4.5703125" style="51" customWidth="1"/>
    <col min="1286" max="1286" width="5.5703125" style="51" customWidth="1"/>
    <col min="1287" max="1289" width="11" style="51" customWidth="1"/>
    <col min="1290" max="1290" width="15.28515625" style="51" customWidth="1"/>
    <col min="1291" max="1291" width="1" style="51" customWidth="1"/>
    <col min="1292" max="1292" width="20" style="51" customWidth="1"/>
    <col min="1293" max="1293" width="2.85546875" style="51" customWidth="1"/>
    <col min="1294" max="1294" width="5.5703125" style="51" customWidth="1"/>
    <col min="1295" max="1295" width="4.5703125" style="51" customWidth="1"/>
    <col min="1296" max="1296" width="5.5703125" style="51" customWidth="1"/>
    <col min="1297" max="1298" width="11" style="51" customWidth="1"/>
    <col min="1299" max="1299" width="11.28515625" style="51" customWidth="1"/>
    <col min="1300" max="1300" width="15.28515625" style="51" customWidth="1"/>
    <col min="1301" max="1301" width="0.42578125" style="51" customWidth="1"/>
    <col min="1302" max="1303" width="11.42578125" style="51"/>
    <col min="1304" max="1304" width="6.85546875" style="51" customWidth="1"/>
    <col min="1305" max="1536" width="11.42578125" style="51"/>
    <col min="1537" max="1537" width="10.140625" style="51" customWidth="1"/>
    <col min="1538" max="1538" width="20" style="51" customWidth="1"/>
    <col min="1539" max="1539" width="2.85546875" style="51" customWidth="1"/>
    <col min="1540" max="1541" width="4.5703125" style="51" customWidth="1"/>
    <col min="1542" max="1542" width="5.5703125" style="51" customWidth="1"/>
    <col min="1543" max="1545" width="11" style="51" customWidth="1"/>
    <col min="1546" max="1546" width="15.28515625" style="51" customWidth="1"/>
    <col min="1547" max="1547" width="1" style="51" customWidth="1"/>
    <col min="1548" max="1548" width="20" style="51" customWidth="1"/>
    <col min="1549" max="1549" width="2.85546875" style="51" customWidth="1"/>
    <col min="1550" max="1550" width="5.5703125" style="51" customWidth="1"/>
    <col min="1551" max="1551" width="4.5703125" style="51" customWidth="1"/>
    <col min="1552" max="1552" width="5.5703125" style="51" customWidth="1"/>
    <col min="1553" max="1554" width="11" style="51" customWidth="1"/>
    <col min="1555" max="1555" width="11.28515625" style="51" customWidth="1"/>
    <col min="1556" max="1556" width="15.28515625" style="51" customWidth="1"/>
    <col min="1557" max="1557" width="0.42578125" style="51" customWidth="1"/>
    <col min="1558" max="1559" width="11.42578125" style="51"/>
    <col min="1560" max="1560" width="6.85546875" style="51" customWidth="1"/>
    <col min="1561" max="1792" width="11.42578125" style="51"/>
    <col min="1793" max="1793" width="10.140625" style="51" customWidth="1"/>
    <col min="1794" max="1794" width="20" style="51" customWidth="1"/>
    <col min="1795" max="1795" width="2.85546875" style="51" customWidth="1"/>
    <col min="1796" max="1797" width="4.5703125" style="51" customWidth="1"/>
    <col min="1798" max="1798" width="5.5703125" style="51" customWidth="1"/>
    <col min="1799" max="1801" width="11" style="51" customWidth="1"/>
    <col min="1802" max="1802" width="15.28515625" style="51" customWidth="1"/>
    <col min="1803" max="1803" width="1" style="51" customWidth="1"/>
    <col min="1804" max="1804" width="20" style="51" customWidth="1"/>
    <col min="1805" max="1805" width="2.85546875" style="51" customWidth="1"/>
    <col min="1806" max="1806" width="5.5703125" style="51" customWidth="1"/>
    <col min="1807" max="1807" width="4.5703125" style="51" customWidth="1"/>
    <col min="1808" max="1808" width="5.5703125" style="51" customWidth="1"/>
    <col min="1809" max="1810" width="11" style="51" customWidth="1"/>
    <col min="1811" max="1811" width="11.28515625" style="51" customWidth="1"/>
    <col min="1812" max="1812" width="15.28515625" style="51" customWidth="1"/>
    <col min="1813" max="1813" width="0.42578125" style="51" customWidth="1"/>
    <col min="1814" max="1815" width="11.42578125" style="51"/>
    <col min="1816" max="1816" width="6.85546875" style="51" customWidth="1"/>
    <col min="1817" max="2048" width="11.42578125" style="51"/>
    <col min="2049" max="2049" width="10.140625" style="51" customWidth="1"/>
    <col min="2050" max="2050" width="20" style="51" customWidth="1"/>
    <col min="2051" max="2051" width="2.85546875" style="51" customWidth="1"/>
    <col min="2052" max="2053" width="4.5703125" style="51" customWidth="1"/>
    <col min="2054" max="2054" width="5.5703125" style="51" customWidth="1"/>
    <col min="2055" max="2057" width="11" style="51" customWidth="1"/>
    <col min="2058" max="2058" width="15.28515625" style="51" customWidth="1"/>
    <col min="2059" max="2059" width="1" style="51" customWidth="1"/>
    <col min="2060" max="2060" width="20" style="51" customWidth="1"/>
    <col min="2061" max="2061" width="2.85546875" style="51" customWidth="1"/>
    <col min="2062" max="2062" width="5.5703125" style="51" customWidth="1"/>
    <col min="2063" max="2063" width="4.5703125" style="51" customWidth="1"/>
    <col min="2064" max="2064" width="5.5703125" style="51" customWidth="1"/>
    <col min="2065" max="2066" width="11" style="51" customWidth="1"/>
    <col min="2067" max="2067" width="11.28515625" style="51" customWidth="1"/>
    <col min="2068" max="2068" width="15.28515625" style="51" customWidth="1"/>
    <col min="2069" max="2069" width="0.42578125" style="51" customWidth="1"/>
    <col min="2070" max="2071" width="11.42578125" style="51"/>
    <col min="2072" max="2072" width="6.85546875" style="51" customWidth="1"/>
    <col min="2073" max="2304" width="11.42578125" style="51"/>
    <col min="2305" max="2305" width="10.140625" style="51" customWidth="1"/>
    <col min="2306" max="2306" width="20" style="51" customWidth="1"/>
    <col min="2307" max="2307" width="2.85546875" style="51" customWidth="1"/>
    <col min="2308" max="2309" width="4.5703125" style="51" customWidth="1"/>
    <col min="2310" max="2310" width="5.5703125" style="51" customWidth="1"/>
    <col min="2311" max="2313" width="11" style="51" customWidth="1"/>
    <col min="2314" max="2314" width="15.28515625" style="51" customWidth="1"/>
    <col min="2315" max="2315" width="1" style="51" customWidth="1"/>
    <col min="2316" max="2316" width="20" style="51" customWidth="1"/>
    <col min="2317" max="2317" width="2.85546875" style="51" customWidth="1"/>
    <col min="2318" max="2318" width="5.5703125" style="51" customWidth="1"/>
    <col min="2319" max="2319" width="4.5703125" style="51" customWidth="1"/>
    <col min="2320" max="2320" width="5.5703125" style="51" customWidth="1"/>
    <col min="2321" max="2322" width="11" style="51" customWidth="1"/>
    <col min="2323" max="2323" width="11.28515625" style="51" customWidth="1"/>
    <col min="2324" max="2324" width="15.28515625" style="51" customWidth="1"/>
    <col min="2325" max="2325" width="0.42578125" style="51" customWidth="1"/>
    <col min="2326" max="2327" width="11.42578125" style="51"/>
    <col min="2328" max="2328" width="6.85546875" style="51" customWidth="1"/>
    <col min="2329" max="2560" width="11.42578125" style="51"/>
    <col min="2561" max="2561" width="10.140625" style="51" customWidth="1"/>
    <col min="2562" max="2562" width="20" style="51" customWidth="1"/>
    <col min="2563" max="2563" width="2.85546875" style="51" customWidth="1"/>
    <col min="2564" max="2565" width="4.5703125" style="51" customWidth="1"/>
    <col min="2566" max="2566" width="5.5703125" style="51" customWidth="1"/>
    <col min="2567" max="2569" width="11" style="51" customWidth="1"/>
    <col min="2570" max="2570" width="15.28515625" style="51" customWidth="1"/>
    <col min="2571" max="2571" width="1" style="51" customWidth="1"/>
    <col min="2572" max="2572" width="20" style="51" customWidth="1"/>
    <col min="2573" max="2573" width="2.85546875" style="51" customWidth="1"/>
    <col min="2574" max="2574" width="5.5703125" style="51" customWidth="1"/>
    <col min="2575" max="2575" width="4.5703125" style="51" customWidth="1"/>
    <col min="2576" max="2576" width="5.5703125" style="51" customWidth="1"/>
    <col min="2577" max="2578" width="11" style="51" customWidth="1"/>
    <col min="2579" max="2579" width="11.28515625" style="51" customWidth="1"/>
    <col min="2580" max="2580" width="15.28515625" style="51" customWidth="1"/>
    <col min="2581" max="2581" width="0.42578125" style="51" customWidth="1"/>
    <col min="2582" max="2583" width="11.42578125" style="51"/>
    <col min="2584" max="2584" width="6.85546875" style="51" customWidth="1"/>
    <col min="2585" max="2816" width="11.42578125" style="51"/>
    <col min="2817" max="2817" width="10.140625" style="51" customWidth="1"/>
    <col min="2818" max="2818" width="20" style="51" customWidth="1"/>
    <col min="2819" max="2819" width="2.85546875" style="51" customWidth="1"/>
    <col min="2820" max="2821" width="4.5703125" style="51" customWidth="1"/>
    <col min="2822" max="2822" width="5.5703125" style="51" customWidth="1"/>
    <col min="2823" max="2825" width="11" style="51" customWidth="1"/>
    <col min="2826" max="2826" width="15.28515625" style="51" customWidth="1"/>
    <col min="2827" max="2827" width="1" style="51" customWidth="1"/>
    <col min="2828" max="2828" width="20" style="51" customWidth="1"/>
    <col min="2829" max="2829" width="2.85546875" style="51" customWidth="1"/>
    <col min="2830" max="2830" width="5.5703125" style="51" customWidth="1"/>
    <col min="2831" max="2831" width="4.5703125" style="51" customWidth="1"/>
    <col min="2832" max="2832" width="5.5703125" style="51" customWidth="1"/>
    <col min="2833" max="2834" width="11" style="51" customWidth="1"/>
    <col min="2835" max="2835" width="11.28515625" style="51" customWidth="1"/>
    <col min="2836" max="2836" width="15.28515625" style="51" customWidth="1"/>
    <col min="2837" max="2837" width="0.42578125" style="51" customWidth="1"/>
    <col min="2838" max="2839" width="11.42578125" style="51"/>
    <col min="2840" max="2840" width="6.85546875" style="51" customWidth="1"/>
    <col min="2841" max="3072" width="11.42578125" style="51"/>
    <col min="3073" max="3073" width="10.140625" style="51" customWidth="1"/>
    <col min="3074" max="3074" width="20" style="51" customWidth="1"/>
    <col min="3075" max="3075" width="2.85546875" style="51" customWidth="1"/>
    <col min="3076" max="3077" width="4.5703125" style="51" customWidth="1"/>
    <col min="3078" max="3078" width="5.5703125" style="51" customWidth="1"/>
    <col min="3079" max="3081" width="11" style="51" customWidth="1"/>
    <col min="3082" max="3082" width="15.28515625" style="51" customWidth="1"/>
    <col min="3083" max="3083" width="1" style="51" customWidth="1"/>
    <col min="3084" max="3084" width="20" style="51" customWidth="1"/>
    <col min="3085" max="3085" width="2.85546875" style="51" customWidth="1"/>
    <col min="3086" max="3086" width="5.5703125" style="51" customWidth="1"/>
    <col min="3087" max="3087" width="4.5703125" style="51" customWidth="1"/>
    <col min="3088" max="3088" width="5.5703125" style="51" customWidth="1"/>
    <col min="3089" max="3090" width="11" style="51" customWidth="1"/>
    <col min="3091" max="3091" width="11.28515625" style="51" customWidth="1"/>
    <col min="3092" max="3092" width="15.28515625" style="51" customWidth="1"/>
    <col min="3093" max="3093" width="0.42578125" style="51" customWidth="1"/>
    <col min="3094" max="3095" width="11.42578125" style="51"/>
    <col min="3096" max="3096" width="6.85546875" style="51" customWidth="1"/>
    <col min="3097" max="3328" width="11.42578125" style="51"/>
    <col min="3329" max="3329" width="10.140625" style="51" customWidth="1"/>
    <col min="3330" max="3330" width="20" style="51" customWidth="1"/>
    <col min="3331" max="3331" width="2.85546875" style="51" customWidth="1"/>
    <col min="3332" max="3333" width="4.5703125" style="51" customWidth="1"/>
    <col min="3334" max="3334" width="5.5703125" style="51" customWidth="1"/>
    <col min="3335" max="3337" width="11" style="51" customWidth="1"/>
    <col min="3338" max="3338" width="15.28515625" style="51" customWidth="1"/>
    <col min="3339" max="3339" width="1" style="51" customWidth="1"/>
    <col min="3340" max="3340" width="20" style="51" customWidth="1"/>
    <col min="3341" max="3341" width="2.85546875" style="51" customWidth="1"/>
    <col min="3342" max="3342" width="5.5703125" style="51" customWidth="1"/>
    <col min="3343" max="3343" width="4.5703125" style="51" customWidth="1"/>
    <col min="3344" max="3344" width="5.5703125" style="51" customWidth="1"/>
    <col min="3345" max="3346" width="11" style="51" customWidth="1"/>
    <col min="3347" max="3347" width="11.28515625" style="51" customWidth="1"/>
    <col min="3348" max="3348" width="15.28515625" style="51" customWidth="1"/>
    <col min="3349" max="3349" width="0.42578125" style="51" customWidth="1"/>
    <col min="3350" max="3351" width="11.42578125" style="51"/>
    <col min="3352" max="3352" width="6.85546875" style="51" customWidth="1"/>
    <col min="3353" max="3584" width="11.42578125" style="51"/>
    <col min="3585" max="3585" width="10.140625" style="51" customWidth="1"/>
    <col min="3586" max="3586" width="20" style="51" customWidth="1"/>
    <col min="3587" max="3587" width="2.85546875" style="51" customWidth="1"/>
    <col min="3588" max="3589" width="4.5703125" style="51" customWidth="1"/>
    <col min="3590" max="3590" width="5.5703125" style="51" customWidth="1"/>
    <col min="3591" max="3593" width="11" style="51" customWidth="1"/>
    <col min="3594" max="3594" width="15.28515625" style="51" customWidth="1"/>
    <col min="3595" max="3595" width="1" style="51" customWidth="1"/>
    <col min="3596" max="3596" width="20" style="51" customWidth="1"/>
    <col min="3597" max="3597" width="2.85546875" style="51" customWidth="1"/>
    <col min="3598" max="3598" width="5.5703125" style="51" customWidth="1"/>
    <col min="3599" max="3599" width="4.5703125" style="51" customWidth="1"/>
    <col min="3600" max="3600" width="5.5703125" style="51" customWidth="1"/>
    <col min="3601" max="3602" width="11" style="51" customWidth="1"/>
    <col min="3603" max="3603" width="11.28515625" style="51" customWidth="1"/>
    <col min="3604" max="3604" width="15.28515625" style="51" customWidth="1"/>
    <col min="3605" max="3605" width="0.42578125" style="51" customWidth="1"/>
    <col min="3606" max="3607" width="11.42578125" style="51"/>
    <col min="3608" max="3608" width="6.85546875" style="51" customWidth="1"/>
    <col min="3609" max="3840" width="11.42578125" style="51"/>
    <col min="3841" max="3841" width="10.140625" style="51" customWidth="1"/>
    <col min="3842" max="3842" width="20" style="51" customWidth="1"/>
    <col min="3843" max="3843" width="2.85546875" style="51" customWidth="1"/>
    <col min="3844" max="3845" width="4.5703125" style="51" customWidth="1"/>
    <col min="3846" max="3846" width="5.5703125" style="51" customWidth="1"/>
    <col min="3847" max="3849" width="11" style="51" customWidth="1"/>
    <col min="3850" max="3850" width="15.28515625" style="51" customWidth="1"/>
    <col min="3851" max="3851" width="1" style="51" customWidth="1"/>
    <col min="3852" max="3852" width="20" style="51" customWidth="1"/>
    <col min="3853" max="3853" width="2.85546875" style="51" customWidth="1"/>
    <col min="3854" max="3854" width="5.5703125" style="51" customWidth="1"/>
    <col min="3855" max="3855" width="4.5703125" style="51" customWidth="1"/>
    <col min="3856" max="3856" width="5.5703125" style="51" customWidth="1"/>
    <col min="3857" max="3858" width="11" style="51" customWidth="1"/>
    <col min="3859" max="3859" width="11.28515625" style="51" customWidth="1"/>
    <col min="3860" max="3860" width="15.28515625" style="51" customWidth="1"/>
    <col min="3861" max="3861" width="0.42578125" style="51" customWidth="1"/>
    <col min="3862" max="3863" width="11.42578125" style="51"/>
    <col min="3864" max="3864" width="6.85546875" style="51" customWidth="1"/>
    <col min="3865" max="4096" width="11.42578125" style="51"/>
    <col min="4097" max="4097" width="10.140625" style="51" customWidth="1"/>
    <col min="4098" max="4098" width="20" style="51" customWidth="1"/>
    <col min="4099" max="4099" width="2.85546875" style="51" customWidth="1"/>
    <col min="4100" max="4101" width="4.5703125" style="51" customWidth="1"/>
    <col min="4102" max="4102" width="5.5703125" style="51" customWidth="1"/>
    <col min="4103" max="4105" width="11" style="51" customWidth="1"/>
    <col min="4106" max="4106" width="15.28515625" style="51" customWidth="1"/>
    <col min="4107" max="4107" width="1" style="51" customWidth="1"/>
    <col min="4108" max="4108" width="20" style="51" customWidth="1"/>
    <col min="4109" max="4109" width="2.85546875" style="51" customWidth="1"/>
    <col min="4110" max="4110" width="5.5703125" style="51" customWidth="1"/>
    <col min="4111" max="4111" width="4.5703125" style="51" customWidth="1"/>
    <col min="4112" max="4112" width="5.5703125" style="51" customWidth="1"/>
    <col min="4113" max="4114" width="11" style="51" customWidth="1"/>
    <col min="4115" max="4115" width="11.28515625" style="51" customWidth="1"/>
    <col min="4116" max="4116" width="15.28515625" style="51" customWidth="1"/>
    <col min="4117" max="4117" width="0.42578125" style="51" customWidth="1"/>
    <col min="4118" max="4119" width="11.42578125" style="51"/>
    <col min="4120" max="4120" width="6.85546875" style="51" customWidth="1"/>
    <col min="4121" max="4352" width="11.42578125" style="51"/>
    <col min="4353" max="4353" width="10.140625" style="51" customWidth="1"/>
    <col min="4354" max="4354" width="20" style="51" customWidth="1"/>
    <col min="4355" max="4355" width="2.85546875" style="51" customWidth="1"/>
    <col min="4356" max="4357" width="4.5703125" style="51" customWidth="1"/>
    <col min="4358" max="4358" width="5.5703125" style="51" customWidth="1"/>
    <col min="4359" max="4361" width="11" style="51" customWidth="1"/>
    <col min="4362" max="4362" width="15.28515625" style="51" customWidth="1"/>
    <col min="4363" max="4363" width="1" style="51" customWidth="1"/>
    <col min="4364" max="4364" width="20" style="51" customWidth="1"/>
    <col min="4365" max="4365" width="2.85546875" style="51" customWidth="1"/>
    <col min="4366" max="4366" width="5.5703125" style="51" customWidth="1"/>
    <col min="4367" max="4367" width="4.5703125" style="51" customWidth="1"/>
    <col min="4368" max="4368" width="5.5703125" style="51" customWidth="1"/>
    <col min="4369" max="4370" width="11" style="51" customWidth="1"/>
    <col min="4371" max="4371" width="11.28515625" style="51" customWidth="1"/>
    <col min="4372" max="4372" width="15.28515625" style="51" customWidth="1"/>
    <col min="4373" max="4373" width="0.42578125" style="51" customWidth="1"/>
    <col min="4374" max="4375" width="11.42578125" style="51"/>
    <col min="4376" max="4376" width="6.85546875" style="51" customWidth="1"/>
    <col min="4377" max="4608" width="11.42578125" style="51"/>
    <col min="4609" max="4609" width="10.140625" style="51" customWidth="1"/>
    <col min="4610" max="4610" width="20" style="51" customWidth="1"/>
    <col min="4611" max="4611" width="2.85546875" style="51" customWidth="1"/>
    <col min="4612" max="4613" width="4.5703125" style="51" customWidth="1"/>
    <col min="4614" max="4614" width="5.5703125" style="51" customWidth="1"/>
    <col min="4615" max="4617" width="11" style="51" customWidth="1"/>
    <col min="4618" max="4618" width="15.28515625" style="51" customWidth="1"/>
    <col min="4619" max="4619" width="1" style="51" customWidth="1"/>
    <col min="4620" max="4620" width="20" style="51" customWidth="1"/>
    <col min="4621" max="4621" width="2.85546875" style="51" customWidth="1"/>
    <col min="4622" max="4622" width="5.5703125" style="51" customWidth="1"/>
    <col min="4623" max="4623" width="4.5703125" style="51" customWidth="1"/>
    <col min="4624" max="4624" width="5.5703125" style="51" customWidth="1"/>
    <col min="4625" max="4626" width="11" style="51" customWidth="1"/>
    <col min="4627" max="4627" width="11.28515625" style="51" customWidth="1"/>
    <col min="4628" max="4628" width="15.28515625" style="51" customWidth="1"/>
    <col min="4629" max="4629" width="0.42578125" style="51" customWidth="1"/>
    <col min="4630" max="4631" width="11.42578125" style="51"/>
    <col min="4632" max="4632" width="6.85546875" style="51" customWidth="1"/>
    <col min="4633" max="4864" width="11.42578125" style="51"/>
    <col min="4865" max="4865" width="10.140625" style="51" customWidth="1"/>
    <col min="4866" max="4866" width="20" style="51" customWidth="1"/>
    <col min="4867" max="4867" width="2.85546875" style="51" customWidth="1"/>
    <col min="4868" max="4869" width="4.5703125" style="51" customWidth="1"/>
    <col min="4870" max="4870" width="5.5703125" style="51" customWidth="1"/>
    <col min="4871" max="4873" width="11" style="51" customWidth="1"/>
    <col min="4874" max="4874" width="15.28515625" style="51" customWidth="1"/>
    <col min="4875" max="4875" width="1" style="51" customWidth="1"/>
    <col min="4876" max="4876" width="20" style="51" customWidth="1"/>
    <col min="4877" max="4877" width="2.85546875" style="51" customWidth="1"/>
    <col min="4878" max="4878" width="5.5703125" style="51" customWidth="1"/>
    <col min="4879" max="4879" width="4.5703125" style="51" customWidth="1"/>
    <col min="4880" max="4880" width="5.5703125" style="51" customWidth="1"/>
    <col min="4881" max="4882" width="11" style="51" customWidth="1"/>
    <col min="4883" max="4883" width="11.28515625" style="51" customWidth="1"/>
    <col min="4884" max="4884" width="15.28515625" style="51" customWidth="1"/>
    <col min="4885" max="4885" width="0.42578125" style="51" customWidth="1"/>
    <col min="4886" max="4887" width="11.42578125" style="51"/>
    <col min="4888" max="4888" width="6.85546875" style="51" customWidth="1"/>
    <col min="4889" max="5120" width="11.42578125" style="51"/>
    <col min="5121" max="5121" width="10.140625" style="51" customWidth="1"/>
    <col min="5122" max="5122" width="20" style="51" customWidth="1"/>
    <col min="5123" max="5123" width="2.85546875" style="51" customWidth="1"/>
    <col min="5124" max="5125" width="4.5703125" style="51" customWidth="1"/>
    <col min="5126" max="5126" width="5.5703125" style="51" customWidth="1"/>
    <col min="5127" max="5129" width="11" style="51" customWidth="1"/>
    <col min="5130" max="5130" width="15.28515625" style="51" customWidth="1"/>
    <col min="5131" max="5131" width="1" style="51" customWidth="1"/>
    <col min="5132" max="5132" width="20" style="51" customWidth="1"/>
    <col min="5133" max="5133" width="2.85546875" style="51" customWidth="1"/>
    <col min="5134" max="5134" width="5.5703125" style="51" customWidth="1"/>
    <col min="5135" max="5135" width="4.5703125" style="51" customWidth="1"/>
    <col min="5136" max="5136" width="5.5703125" style="51" customWidth="1"/>
    <col min="5137" max="5138" width="11" style="51" customWidth="1"/>
    <col min="5139" max="5139" width="11.28515625" style="51" customWidth="1"/>
    <col min="5140" max="5140" width="15.28515625" style="51" customWidth="1"/>
    <col min="5141" max="5141" width="0.42578125" style="51" customWidth="1"/>
    <col min="5142" max="5143" width="11.42578125" style="51"/>
    <col min="5144" max="5144" width="6.85546875" style="51" customWidth="1"/>
    <col min="5145" max="5376" width="11.42578125" style="51"/>
    <col min="5377" max="5377" width="10.140625" style="51" customWidth="1"/>
    <col min="5378" max="5378" width="20" style="51" customWidth="1"/>
    <col min="5379" max="5379" width="2.85546875" style="51" customWidth="1"/>
    <col min="5380" max="5381" width="4.5703125" style="51" customWidth="1"/>
    <col min="5382" max="5382" width="5.5703125" style="51" customWidth="1"/>
    <col min="5383" max="5385" width="11" style="51" customWidth="1"/>
    <col min="5386" max="5386" width="15.28515625" style="51" customWidth="1"/>
    <col min="5387" max="5387" width="1" style="51" customWidth="1"/>
    <col min="5388" max="5388" width="20" style="51" customWidth="1"/>
    <col min="5389" max="5389" width="2.85546875" style="51" customWidth="1"/>
    <col min="5390" max="5390" width="5.5703125" style="51" customWidth="1"/>
    <col min="5391" max="5391" width="4.5703125" style="51" customWidth="1"/>
    <col min="5392" max="5392" width="5.5703125" style="51" customWidth="1"/>
    <col min="5393" max="5394" width="11" style="51" customWidth="1"/>
    <col min="5395" max="5395" width="11.28515625" style="51" customWidth="1"/>
    <col min="5396" max="5396" width="15.28515625" style="51" customWidth="1"/>
    <col min="5397" max="5397" width="0.42578125" style="51" customWidth="1"/>
    <col min="5398" max="5399" width="11.42578125" style="51"/>
    <col min="5400" max="5400" width="6.85546875" style="51" customWidth="1"/>
    <col min="5401" max="5632" width="11.42578125" style="51"/>
    <col min="5633" max="5633" width="10.140625" style="51" customWidth="1"/>
    <col min="5634" max="5634" width="20" style="51" customWidth="1"/>
    <col min="5635" max="5635" width="2.85546875" style="51" customWidth="1"/>
    <col min="5636" max="5637" width="4.5703125" style="51" customWidth="1"/>
    <col min="5638" max="5638" width="5.5703125" style="51" customWidth="1"/>
    <col min="5639" max="5641" width="11" style="51" customWidth="1"/>
    <col min="5642" max="5642" width="15.28515625" style="51" customWidth="1"/>
    <col min="5643" max="5643" width="1" style="51" customWidth="1"/>
    <col min="5644" max="5644" width="20" style="51" customWidth="1"/>
    <col min="5645" max="5645" width="2.85546875" style="51" customWidth="1"/>
    <col min="5646" max="5646" width="5.5703125" style="51" customWidth="1"/>
    <col min="5647" max="5647" width="4.5703125" style="51" customWidth="1"/>
    <col min="5648" max="5648" width="5.5703125" style="51" customWidth="1"/>
    <col min="5649" max="5650" width="11" style="51" customWidth="1"/>
    <col min="5651" max="5651" width="11.28515625" style="51" customWidth="1"/>
    <col min="5652" max="5652" width="15.28515625" style="51" customWidth="1"/>
    <col min="5653" max="5653" width="0.42578125" style="51" customWidth="1"/>
    <col min="5654" max="5655" width="11.42578125" style="51"/>
    <col min="5656" max="5656" width="6.85546875" style="51" customWidth="1"/>
    <col min="5657" max="5888" width="11.42578125" style="51"/>
    <col min="5889" max="5889" width="10.140625" style="51" customWidth="1"/>
    <col min="5890" max="5890" width="20" style="51" customWidth="1"/>
    <col min="5891" max="5891" width="2.85546875" style="51" customWidth="1"/>
    <col min="5892" max="5893" width="4.5703125" style="51" customWidth="1"/>
    <col min="5894" max="5894" width="5.5703125" style="51" customWidth="1"/>
    <col min="5895" max="5897" width="11" style="51" customWidth="1"/>
    <col min="5898" max="5898" width="15.28515625" style="51" customWidth="1"/>
    <col min="5899" max="5899" width="1" style="51" customWidth="1"/>
    <col min="5900" max="5900" width="20" style="51" customWidth="1"/>
    <col min="5901" max="5901" width="2.85546875" style="51" customWidth="1"/>
    <col min="5902" max="5902" width="5.5703125" style="51" customWidth="1"/>
    <col min="5903" max="5903" width="4.5703125" style="51" customWidth="1"/>
    <col min="5904" max="5904" width="5.5703125" style="51" customWidth="1"/>
    <col min="5905" max="5906" width="11" style="51" customWidth="1"/>
    <col min="5907" max="5907" width="11.28515625" style="51" customWidth="1"/>
    <col min="5908" max="5908" width="15.28515625" style="51" customWidth="1"/>
    <col min="5909" max="5909" width="0.42578125" style="51" customWidth="1"/>
    <col min="5910" max="5911" width="11.42578125" style="51"/>
    <col min="5912" max="5912" width="6.85546875" style="51" customWidth="1"/>
    <col min="5913" max="6144" width="11.42578125" style="51"/>
    <col min="6145" max="6145" width="10.140625" style="51" customWidth="1"/>
    <col min="6146" max="6146" width="20" style="51" customWidth="1"/>
    <col min="6147" max="6147" width="2.85546875" style="51" customWidth="1"/>
    <col min="6148" max="6149" width="4.5703125" style="51" customWidth="1"/>
    <col min="6150" max="6150" width="5.5703125" style="51" customWidth="1"/>
    <col min="6151" max="6153" width="11" style="51" customWidth="1"/>
    <col min="6154" max="6154" width="15.28515625" style="51" customWidth="1"/>
    <col min="6155" max="6155" width="1" style="51" customWidth="1"/>
    <col min="6156" max="6156" width="20" style="51" customWidth="1"/>
    <col min="6157" max="6157" width="2.85546875" style="51" customWidth="1"/>
    <col min="6158" max="6158" width="5.5703125" style="51" customWidth="1"/>
    <col min="6159" max="6159" width="4.5703125" style="51" customWidth="1"/>
    <col min="6160" max="6160" width="5.5703125" style="51" customWidth="1"/>
    <col min="6161" max="6162" width="11" style="51" customWidth="1"/>
    <col min="6163" max="6163" width="11.28515625" style="51" customWidth="1"/>
    <col min="6164" max="6164" width="15.28515625" style="51" customWidth="1"/>
    <col min="6165" max="6165" width="0.42578125" style="51" customWidth="1"/>
    <col min="6166" max="6167" width="11.42578125" style="51"/>
    <col min="6168" max="6168" width="6.85546875" style="51" customWidth="1"/>
    <col min="6169" max="6400" width="11.42578125" style="51"/>
    <col min="6401" max="6401" width="10.140625" style="51" customWidth="1"/>
    <col min="6402" max="6402" width="20" style="51" customWidth="1"/>
    <col min="6403" max="6403" width="2.85546875" style="51" customWidth="1"/>
    <col min="6404" max="6405" width="4.5703125" style="51" customWidth="1"/>
    <col min="6406" max="6406" width="5.5703125" style="51" customWidth="1"/>
    <col min="6407" max="6409" width="11" style="51" customWidth="1"/>
    <col min="6410" max="6410" width="15.28515625" style="51" customWidth="1"/>
    <col min="6411" max="6411" width="1" style="51" customWidth="1"/>
    <col min="6412" max="6412" width="20" style="51" customWidth="1"/>
    <col min="6413" max="6413" width="2.85546875" style="51" customWidth="1"/>
    <col min="6414" max="6414" width="5.5703125" style="51" customWidth="1"/>
    <col min="6415" max="6415" width="4.5703125" style="51" customWidth="1"/>
    <col min="6416" max="6416" width="5.5703125" style="51" customWidth="1"/>
    <col min="6417" max="6418" width="11" style="51" customWidth="1"/>
    <col min="6419" max="6419" width="11.28515625" style="51" customWidth="1"/>
    <col min="6420" max="6420" width="15.28515625" style="51" customWidth="1"/>
    <col min="6421" max="6421" width="0.42578125" style="51" customWidth="1"/>
    <col min="6422" max="6423" width="11.42578125" style="51"/>
    <col min="6424" max="6424" width="6.85546875" style="51" customWidth="1"/>
    <col min="6425" max="6656" width="11.42578125" style="51"/>
    <col min="6657" max="6657" width="10.140625" style="51" customWidth="1"/>
    <col min="6658" max="6658" width="20" style="51" customWidth="1"/>
    <col min="6659" max="6659" width="2.85546875" style="51" customWidth="1"/>
    <col min="6660" max="6661" width="4.5703125" style="51" customWidth="1"/>
    <col min="6662" max="6662" width="5.5703125" style="51" customWidth="1"/>
    <col min="6663" max="6665" width="11" style="51" customWidth="1"/>
    <col min="6666" max="6666" width="15.28515625" style="51" customWidth="1"/>
    <col min="6667" max="6667" width="1" style="51" customWidth="1"/>
    <col min="6668" max="6668" width="20" style="51" customWidth="1"/>
    <col min="6669" max="6669" width="2.85546875" style="51" customWidth="1"/>
    <col min="6670" max="6670" width="5.5703125" style="51" customWidth="1"/>
    <col min="6671" max="6671" width="4.5703125" style="51" customWidth="1"/>
    <col min="6672" max="6672" width="5.5703125" style="51" customWidth="1"/>
    <col min="6673" max="6674" width="11" style="51" customWidth="1"/>
    <col min="6675" max="6675" width="11.28515625" style="51" customWidth="1"/>
    <col min="6676" max="6676" width="15.28515625" style="51" customWidth="1"/>
    <col min="6677" max="6677" width="0.42578125" style="51" customWidth="1"/>
    <col min="6678" max="6679" width="11.42578125" style="51"/>
    <col min="6680" max="6680" width="6.85546875" style="51" customWidth="1"/>
    <col min="6681" max="6912" width="11.42578125" style="51"/>
    <col min="6913" max="6913" width="10.140625" style="51" customWidth="1"/>
    <col min="6914" max="6914" width="20" style="51" customWidth="1"/>
    <col min="6915" max="6915" width="2.85546875" style="51" customWidth="1"/>
    <col min="6916" max="6917" width="4.5703125" style="51" customWidth="1"/>
    <col min="6918" max="6918" width="5.5703125" style="51" customWidth="1"/>
    <col min="6919" max="6921" width="11" style="51" customWidth="1"/>
    <col min="6922" max="6922" width="15.28515625" style="51" customWidth="1"/>
    <col min="6923" max="6923" width="1" style="51" customWidth="1"/>
    <col min="6924" max="6924" width="20" style="51" customWidth="1"/>
    <col min="6925" max="6925" width="2.85546875" style="51" customWidth="1"/>
    <col min="6926" max="6926" width="5.5703125" style="51" customWidth="1"/>
    <col min="6927" max="6927" width="4.5703125" style="51" customWidth="1"/>
    <col min="6928" max="6928" width="5.5703125" style="51" customWidth="1"/>
    <col min="6929" max="6930" width="11" style="51" customWidth="1"/>
    <col min="6931" max="6931" width="11.28515625" style="51" customWidth="1"/>
    <col min="6932" max="6932" width="15.28515625" style="51" customWidth="1"/>
    <col min="6933" max="6933" width="0.42578125" style="51" customWidth="1"/>
    <col min="6934" max="6935" width="11.42578125" style="51"/>
    <col min="6936" max="6936" width="6.85546875" style="51" customWidth="1"/>
    <col min="6937" max="7168" width="11.42578125" style="51"/>
    <col min="7169" max="7169" width="10.140625" style="51" customWidth="1"/>
    <col min="7170" max="7170" width="20" style="51" customWidth="1"/>
    <col min="7171" max="7171" width="2.85546875" style="51" customWidth="1"/>
    <col min="7172" max="7173" width="4.5703125" style="51" customWidth="1"/>
    <col min="7174" max="7174" width="5.5703125" style="51" customWidth="1"/>
    <col min="7175" max="7177" width="11" style="51" customWidth="1"/>
    <col min="7178" max="7178" width="15.28515625" style="51" customWidth="1"/>
    <col min="7179" max="7179" width="1" style="51" customWidth="1"/>
    <col min="7180" max="7180" width="20" style="51" customWidth="1"/>
    <col min="7181" max="7181" width="2.85546875" style="51" customWidth="1"/>
    <col min="7182" max="7182" width="5.5703125" style="51" customWidth="1"/>
    <col min="7183" max="7183" width="4.5703125" style="51" customWidth="1"/>
    <col min="7184" max="7184" width="5.5703125" style="51" customWidth="1"/>
    <col min="7185" max="7186" width="11" style="51" customWidth="1"/>
    <col min="7187" max="7187" width="11.28515625" style="51" customWidth="1"/>
    <col min="7188" max="7188" width="15.28515625" style="51" customWidth="1"/>
    <col min="7189" max="7189" width="0.42578125" style="51" customWidth="1"/>
    <col min="7190" max="7191" width="11.42578125" style="51"/>
    <col min="7192" max="7192" width="6.85546875" style="51" customWidth="1"/>
    <col min="7193" max="7424" width="11.42578125" style="51"/>
    <col min="7425" max="7425" width="10.140625" style="51" customWidth="1"/>
    <col min="7426" max="7426" width="20" style="51" customWidth="1"/>
    <col min="7427" max="7427" width="2.85546875" style="51" customWidth="1"/>
    <col min="7428" max="7429" width="4.5703125" style="51" customWidth="1"/>
    <col min="7430" max="7430" width="5.5703125" style="51" customWidth="1"/>
    <col min="7431" max="7433" width="11" style="51" customWidth="1"/>
    <col min="7434" max="7434" width="15.28515625" style="51" customWidth="1"/>
    <col min="7435" max="7435" width="1" style="51" customWidth="1"/>
    <col min="7436" max="7436" width="20" style="51" customWidth="1"/>
    <col min="7437" max="7437" width="2.85546875" style="51" customWidth="1"/>
    <col min="7438" max="7438" width="5.5703125" style="51" customWidth="1"/>
    <col min="7439" max="7439" width="4.5703125" style="51" customWidth="1"/>
    <col min="7440" max="7440" width="5.5703125" style="51" customWidth="1"/>
    <col min="7441" max="7442" width="11" style="51" customWidth="1"/>
    <col min="7443" max="7443" width="11.28515625" style="51" customWidth="1"/>
    <col min="7444" max="7444" width="15.28515625" style="51" customWidth="1"/>
    <col min="7445" max="7445" width="0.42578125" style="51" customWidth="1"/>
    <col min="7446" max="7447" width="11.42578125" style="51"/>
    <col min="7448" max="7448" width="6.85546875" style="51" customWidth="1"/>
    <col min="7449" max="7680" width="11.42578125" style="51"/>
    <col min="7681" max="7681" width="10.140625" style="51" customWidth="1"/>
    <col min="7682" max="7682" width="20" style="51" customWidth="1"/>
    <col min="7683" max="7683" width="2.85546875" style="51" customWidth="1"/>
    <col min="7684" max="7685" width="4.5703125" style="51" customWidth="1"/>
    <col min="7686" max="7686" width="5.5703125" style="51" customWidth="1"/>
    <col min="7687" max="7689" width="11" style="51" customWidth="1"/>
    <col min="7690" max="7690" width="15.28515625" style="51" customWidth="1"/>
    <col min="7691" max="7691" width="1" style="51" customWidth="1"/>
    <col min="7692" max="7692" width="20" style="51" customWidth="1"/>
    <col min="7693" max="7693" width="2.85546875" style="51" customWidth="1"/>
    <col min="7694" max="7694" width="5.5703125" style="51" customWidth="1"/>
    <col min="7695" max="7695" width="4.5703125" style="51" customWidth="1"/>
    <col min="7696" max="7696" width="5.5703125" style="51" customWidth="1"/>
    <col min="7697" max="7698" width="11" style="51" customWidth="1"/>
    <col min="7699" max="7699" width="11.28515625" style="51" customWidth="1"/>
    <col min="7700" max="7700" width="15.28515625" style="51" customWidth="1"/>
    <col min="7701" max="7701" width="0.42578125" style="51" customWidth="1"/>
    <col min="7702" max="7703" width="11.42578125" style="51"/>
    <col min="7704" max="7704" width="6.85546875" style="51" customWidth="1"/>
    <col min="7705" max="7936" width="11.42578125" style="51"/>
    <col min="7937" max="7937" width="10.140625" style="51" customWidth="1"/>
    <col min="7938" max="7938" width="20" style="51" customWidth="1"/>
    <col min="7939" max="7939" width="2.85546875" style="51" customWidth="1"/>
    <col min="7940" max="7941" width="4.5703125" style="51" customWidth="1"/>
    <col min="7942" max="7942" width="5.5703125" style="51" customWidth="1"/>
    <col min="7943" max="7945" width="11" style="51" customWidth="1"/>
    <col min="7946" max="7946" width="15.28515625" style="51" customWidth="1"/>
    <col min="7947" max="7947" width="1" style="51" customWidth="1"/>
    <col min="7948" max="7948" width="20" style="51" customWidth="1"/>
    <col min="7949" max="7949" width="2.85546875" style="51" customWidth="1"/>
    <col min="7950" max="7950" width="5.5703125" style="51" customWidth="1"/>
    <col min="7951" max="7951" width="4.5703125" style="51" customWidth="1"/>
    <col min="7952" max="7952" width="5.5703125" style="51" customWidth="1"/>
    <col min="7953" max="7954" width="11" style="51" customWidth="1"/>
    <col min="7955" max="7955" width="11.28515625" style="51" customWidth="1"/>
    <col min="7956" max="7956" width="15.28515625" style="51" customWidth="1"/>
    <col min="7957" max="7957" width="0.42578125" style="51" customWidth="1"/>
    <col min="7958" max="7959" width="11.42578125" style="51"/>
    <col min="7960" max="7960" width="6.85546875" style="51" customWidth="1"/>
    <col min="7961" max="8192" width="11.42578125" style="51"/>
    <col min="8193" max="8193" width="10.140625" style="51" customWidth="1"/>
    <col min="8194" max="8194" width="20" style="51" customWidth="1"/>
    <col min="8195" max="8195" width="2.85546875" style="51" customWidth="1"/>
    <col min="8196" max="8197" width="4.5703125" style="51" customWidth="1"/>
    <col min="8198" max="8198" width="5.5703125" style="51" customWidth="1"/>
    <col min="8199" max="8201" width="11" style="51" customWidth="1"/>
    <col min="8202" max="8202" width="15.28515625" style="51" customWidth="1"/>
    <col min="8203" max="8203" width="1" style="51" customWidth="1"/>
    <col min="8204" max="8204" width="20" style="51" customWidth="1"/>
    <col min="8205" max="8205" width="2.85546875" style="51" customWidth="1"/>
    <col min="8206" max="8206" width="5.5703125" style="51" customWidth="1"/>
    <col min="8207" max="8207" width="4.5703125" style="51" customWidth="1"/>
    <col min="8208" max="8208" width="5.5703125" style="51" customWidth="1"/>
    <col min="8209" max="8210" width="11" style="51" customWidth="1"/>
    <col min="8211" max="8211" width="11.28515625" style="51" customWidth="1"/>
    <col min="8212" max="8212" width="15.28515625" style="51" customWidth="1"/>
    <col min="8213" max="8213" width="0.42578125" style="51" customWidth="1"/>
    <col min="8214" max="8215" width="11.42578125" style="51"/>
    <col min="8216" max="8216" width="6.85546875" style="51" customWidth="1"/>
    <col min="8217" max="8448" width="11.42578125" style="51"/>
    <col min="8449" max="8449" width="10.140625" style="51" customWidth="1"/>
    <col min="8450" max="8450" width="20" style="51" customWidth="1"/>
    <col min="8451" max="8451" width="2.85546875" style="51" customWidth="1"/>
    <col min="8452" max="8453" width="4.5703125" style="51" customWidth="1"/>
    <col min="8454" max="8454" width="5.5703125" style="51" customWidth="1"/>
    <col min="8455" max="8457" width="11" style="51" customWidth="1"/>
    <col min="8458" max="8458" width="15.28515625" style="51" customWidth="1"/>
    <col min="8459" max="8459" width="1" style="51" customWidth="1"/>
    <col min="8460" max="8460" width="20" style="51" customWidth="1"/>
    <col min="8461" max="8461" width="2.85546875" style="51" customWidth="1"/>
    <col min="8462" max="8462" width="5.5703125" style="51" customWidth="1"/>
    <col min="8463" max="8463" width="4.5703125" style="51" customWidth="1"/>
    <col min="8464" max="8464" width="5.5703125" style="51" customWidth="1"/>
    <col min="8465" max="8466" width="11" style="51" customWidth="1"/>
    <col min="8467" max="8467" width="11.28515625" style="51" customWidth="1"/>
    <col min="8468" max="8468" width="15.28515625" style="51" customWidth="1"/>
    <col min="8469" max="8469" width="0.42578125" style="51" customWidth="1"/>
    <col min="8470" max="8471" width="11.42578125" style="51"/>
    <col min="8472" max="8472" width="6.85546875" style="51" customWidth="1"/>
    <col min="8473" max="8704" width="11.42578125" style="51"/>
    <col min="8705" max="8705" width="10.140625" style="51" customWidth="1"/>
    <col min="8706" max="8706" width="20" style="51" customWidth="1"/>
    <col min="8707" max="8707" width="2.85546875" style="51" customWidth="1"/>
    <col min="8708" max="8709" width="4.5703125" style="51" customWidth="1"/>
    <col min="8710" max="8710" width="5.5703125" style="51" customWidth="1"/>
    <col min="8711" max="8713" width="11" style="51" customWidth="1"/>
    <col min="8714" max="8714" width="15.28515625" style="51" customWidth="1"/>
    <col min="8715" max="8715" width="1" style="51" customWidth="1"/>
    <col min="8716" max="8716" width="20" style="51" customWidth="1"/>
    <col min="8717" max="8717" width="2.85546875" style="51" customWidth="1"/>
    <col min="8718" max="8718" width="5.5703125" style="51" customWidth="1"/>
    <col min="8719" max="8719" width="4.5703125" style="51" customWidth="1"/>
    <col min="8720" max="8720" width="5.5703125" style="51" customWidth="1"/>
    <col min="8721" max="8722" width="11" style="51" customWidth="1"/>
    <col min="8723" max="8723" width="11.28515625" style="51" customWidth="1"/>
    <col min="8724" max="8724" width="15.28515625" style="51" customWidth="1"/>
    <col min="8725" max="8725" width="0.42578125" style="51" customWidth="1"/>
    <col min="8726" max="8727" width="11.42578125" style="51"/>
    <col min="8728" max="8728" width="6.85546875" style="51" customWidth="1"/>
    <col min="8729" max="8960" width="11.42578125" style="51"/>
    <col min="8961" max="8961" width="10.140625" style="51" customWidth="1"/>
    <col min="8962" max="8962" width="20" style="51" customWidth="1"/>
    <col min="8963" max="8963" width="2.85546875" style="51" customWidth="1"/>
    <col min="8964" max="8965" width="4.5703125" style="51" customWidth="1"/>
    <col min="8966" max="8966" width="5.5703125" style="51" customWidth="1"/>
    <col min="8967" max="8969" width="11" style="51" customWidth="1"/>
    <col min="8970" max="8970" width="15.28515625" style="51" customWidth="1"/>
    <col min="8971" max="8971" width="1" style="51" customWidth="1"/>
    <col min="8972" max="8972" width="20" style="51" customWidth="1"/>
    <col min="8973" max="8973" width="2.85546875" style="51" customWidth="1"/>
    <col min="8974" max="8974" width="5.5703125" style="51" customWidth="1"/>
    <col min="8975" max="8975" width="4.5703125" style="51" customWidth="1"/>
    <col min="8976" max="8976" width="5.5703125" style="51" customWidth="1"/>
    <col min="8977" max="8978" width="11" style="51" customWidth="1"/>
    <col min="8979" max="8979" width="11.28515625" style="51" customWidth="1"/>
    <col min="8980" max="8980" width="15.28515625" style="51" customWidth="1"/>
    <col min="8981" max="8981" width="0.42578125" style="51" customWidth="1"/>
    <col min="8982" max="8983" width="11.42578125" style="51"/>
    <col min="8984" max="8984" width="6.85546875" style="51" customWidth="1"/>
    <col min="8985" max="9216" width="11.42578125" style="51"/>
    <col min="9217" max="9217" width="10.140625" style="51" customWidth="1"/>
    <col min="9218" max="9218" width="20" style="51" customWidth="1"/>
    <col min="9219" max="9219" width="2.85546875" style="51" customWidth="1"/>
    <col min="9220" max="9221" width="4.5703125" style="51" customWidth="1"/>
    <col min="9222" max="9222" width="5.5703125" style="51" customWidth="1"/>
    <col min="9223" max="9225" width="11" style="51" customWidth="1"/>
    <col min="9226" max="9226" width="15.28515625" style="51" customWidth="1"/>
    <col min="9227" max="9227" width="1" style="51" customWidth="1"/>
    <col min="9228" max="9228" width="20" style="51" customWidth="1"/>
    <col min="9229" max="9229" width="2.85546875" style="51" customWidth="1"/>
    <col min="9230" max="9230" width="5.5703125" style="51" customWidth="1"/>
    <col min="9231" max="9231" width="4.5703125" style="51" customWidth="1"/>
    <col min="9232" max="9232" width="5.5703125" style="51" customWidth="1"/>
    <col min="9233" max="9234" width="11" style="51" customWidth="1"/>
    <col min="9235" max="9235" width="11.28515625" style="51" customWidth="1"/>
    <col min="9236" max="9236" width="15.28515625" style="51" customWidth="1"/>
    <col min="9237" max="9237" width="0.42578125" style="51" customWidth="1"/>
    <col min="9238" max="9239" width="11.42578125" style="51"/>
    <col min="9240" max="9240" width="6.85546875" style="51" customWidth="1"/>
    <col min="9241" max="9472" width="11.42578125" style="51"/>
    <col min="9473" max="9473" width="10.140625" style="51" customWidth="1"/>
    <col min="9474" max="9474" width="20" style="51" customWidth="1"/>
    <col min="9475" max="9475" width="2.85546875" style="51" customWidth="1"/>
    <col min="9476" max="9477" width="4.5703125" style="51" customWidth="1"/>
    <col min="9478" max="9478" width="5.5703125" style="51" customWidth="1"/>
    <col min="9479" max="9481" width="11" style="51" customWidth="1"/>
    <col min="9482" max="9482" width="15.28515625" style="51" customWidth="1"/>
    <col min="9483" max="9483" width="1" style="51" customWidth="1"/>
    <col min="9484" max="9484" width="20" style="51" customWidth="1"/>
    <col min="9485" max="9485" width="2.85546875" style="51" customWidth="1"/>
    <col min="9486" max="9486" width="5.5703125" style="51" customWidth="1"/>
    <col min="9487" max="9487" width="4.5703125" style="51" customWidth="1"/>
    <col min="9488" max="9488" width="5.5703125" style="51" customWidth="1"/>
    <col min="9489" max="9490" width="11" style="51" customWidth="1"/>
    <col min="9491" max="9491" width="11.28515625" style="51" customWidth="1"/>
    <col min="9492" max="9492" width="15.28515625" style="51" customWidth="1"/>
    <col min="9493" max="9493" width="0.42578125" style="51" customWidth="1"/>
    <col min="9494" max="9495" width="11.42578125" style="51"/>
    <col min="9496" max="9496" width="6.85546875" style="51" customWidth="1"/>
    <col min="9497" max="9728" width="11.42578125" style="51"/>
    <col min="9729" max="9729" width="10.140625" style="51" customWidth="1"/>
    <col min="9730" max="9730" width="20" style="51" customWidth="1"/>
    <col min="9731" max="9731" width="2.85546875" style="51" customWidth="1"/>
    <col min="9732" max="9733" width="4.5703125" style="51" customWidth="1"/>
    <col min="9734" max="9734" width="5.5703125" style="51" customWidth="1"/>
    <col min="9735" max="9737" width="11" style="51" customWidth="1"/>
    <col min="9738" max="9738" width="15.28515625" style="51" customWidth="1"/>
    <col min="9739" max="9739" width="1" style="51" customWidth="1"/>
    <col min="9740" max="9740" width="20" style="51" customWidth="1"/>
    <col min="9741" max="9741" width="2.85546875" style="51" customWidth="1"/>
    <col min="9742" max="9742" width="5.5703125" style="51" customWidth="1"/>
    <col min="9743" max="9743" width="4.5703125" style="51" customWidth="1"/>
    <col min="9744" max="9744" width="5.5703125" style="51" customWidth="1"/>
    <col min="9745" max="9746" width="11" style="51" customWidth="1"/>
    <col min="9747" max="9747" width="11.28515625" style="51" customWidth="1"/>
    <col min="9748" max="9748" width="15.28515625" style="51" customWidth="1"/>
    <col min="9749" max="9749" width="0.42578125" style="51" customWidth="1"/>
    <col min="9750" max="9751" width="11.42578125" style="51"/>
    <col min="9752" max="9752" width="6.85546875" style="51" customWidth="1"/>
    <col min="9753" max="9984" width="11.42578125" style="51"/>
    <col min="9985" max="9985" width="10.140625" style="51" customWidth="1"/>
    <col min="9986" max="9986" width="20" style="51" customWidth="1"/>
    <col min="9987" max="9987" width="2.85546875" style="51" customWidth="1"/>
    <col min="9988" max="9989" width="4.5703125" style="51" customWidth="1"/>
    <col min="9990" max="9990" width="5.5703125" style="51" customWidth="1"/>
    <col min="9991" max="9993" width="11" style="51" customWidth="1"/>
    <col min="9994" max="9994" width="15.28515625" style="51" customWidth="1"/>
    <col min="9995" max="9995" width="1" style="51" customWidth="1"/>
    <col min="9996" max="9996" width="20" style="51" customWidth="1"/>
    <col min="9997" max="9997" width="2.85546875" style="51" customWidth="1"/>
    <col min="9998" max="9998" width="5.5703125" style="51" customWidth="1"/>
    <col min="9999" max="9999" width="4.5703125" style="51" customWidth="1"/>
    <col min="10000" max="10000" width="5.5703125" style="51" customWidth="1"/>
    <col min="10001" max="10002" width="11" style="51" customWidth="1"/>
    <col min="10003" max="10003" width="11.28515625" style="51" customWidth="1"/>
    <col min="10004" max="10004" width="15.28515625" style="51" customWidth="1"/>
    <col min="10005" max="10005" width="0.42578125" style="51" customWidth="1"/>
    <col min="10006" max="10007" width="11.42578125" style="51"/>
    <col min="10008" max="10008" width="6.85546875" style="51" customWidth="1"/>
    <col min="10009" max="10240" width="11.42578125" style="51"/>
    <col min="10241" max="10241" width="10.140625" style="51" customWidth="1"/>
    <col min="10242" max="10242" width="20" style="51" customWidth="1"/>
    <col min="10243" max="10243" width="2.85546875" style="51" customWidth="1"/>
    <col min="10244" max="10245" width="4.5703125" style="51" customWidth="1"/>
    <col min="10246" max="10246" width="5.5703125" style="51" customWidth="1"/>
    <col min="10247" max="10249" width="11" style="51" customWidth="1"/>
    <col min="10250" max="10250" width="15.28515625" style="51" customWidth="1"/>
    <col min="10251" max="10251" width="1" style="51" customWidth="1"/>
    <col min="10252" max="10252" width="20" style="51" customWidth="1"/>
    <col min="10253" max="10253" width="2.85546875" style="51" customWidth="1"/>
    <col min="10254" max="10254" width="5.5703125" style="51" customWidth="1"/>
    <col min="10255" max="10255" width="4.5703125" style="51" customWidth="1"/>
    <col min="10256" max="10256" width="5.5703125" style="51" customWidth="1"/>
    <col min="10257" max="10258" width="11" style="51" customWidth="1"/>
    <col min="10259" max="10259" width="11.28515625" style="51" customWidth="1"/>
    <col min="10260" max="10260" width="15.28515625" style="51" customWidth="1"/>
    <col min="10261" max="10261" width="0.42578125" style="51" customWidth="1"/>
    <col min="10262" max="10263" width="11.42578125" style="51"/>
    <col min="10264" max="10264" width="6.85546875" style="51" customWidth="1"/>
    <col min="10265" max="10496" width="11.42578125" style="51"/>
    <col min="10497" max="10497" width="10.140625" style="51" customWidth="1"/>
    <col min="10498" max="10498" width="20" style="51" customWidth="1"/>
    <col min="10499" max="10499" width="2.85546875" style="51" customWidth="1"/>
    <col min="10500" max="10501" width="4.5703125" style="51" customWidth="1"/>
    <col min="10502" max="10502" width="5.5703125" style="51" customWidth="1"/>
    <col min="10503" max="10505" width="11" style="51" customWidth="1"/>
    <col min="10506" max="10506" width="15.28515625" style="51" customWidth="1"/>
    <col min="10507" max="10507" width="1" style="51" customWidth="1"/>
    <col min="10508" max="10508" width="20" style="51" customWidth="1"/>
    <col min="10509" max="10509" width="2.85546875" style="51" customWidth="1"/>
    <col min="10510" max="10510" width="5.5703125" style="51" customWidth="1"/>
    <col min="10511" max="10511" width="4.5703125" style="51" customWidth="1"/>
    <col min="10512" max="10512" width="5.5703125" style="51" customWidth="1"/>
    <col min="10513" max="10514" width="11" style="51" customWidth="1"/>
    <col min="10515" max="10515" width="11.28515625" style="51" customWidth="1"/>
    <col min="10516" max="10516" width="15.28515625" style="51" customWidth="1"/>
    <col min="10517" max="10517" width="0.42578125" style="51" customWidth="1"/>
    <col min="10518" max="10519" width="11.42578125" style="51"/>
    <col min="10520" max="10520" width="6.85546875" style="51" customWidth="1"/>
    <col min="10521" max="10752" width="11.42578125" style="51"/>
    <col min="10753" max="10753" width="10.140625" style="51" customWidth="1"/>
    <col min="10754" max="10754" width="20" style="51" customWidth="1"/>
    <col min="10755" max="10755" width="2.85546875" style="51" customWidth="1"/>
    <col min="10756" max="10757" width="4.5703125" style="51" customWidth="1"/>
    <col min="10758" max="10758" width="5.5703125" style="51" customWidth="1"/>
    <col min="10759" max="10761" width="11" style="51" customWidth="1"/>
    <col min="10762" max="10762" width="15.28515625" style="51" customWidth="1"/>
    <col min="10763" max="10763" width="1" style="51" customWidth="1"/>
    <col min="10764" max="10764" width="20" style="51" customWidth="1"/>
    <col min="10765" max="10765" width="2.85546875" style="51" customWidth="1"/>
    <col min="10766" max="10766" width="5.5703125" style="51" customWidth="1"/>
    <col min="10767" max="10767" width="4.5703125" style="51" customWidth="1"/>
    <col min="10768" max="10768" width="5.5703125" style="51" customWidth="1"/>
    <col min="10769" max="10770" width="11" style="51" customWidth="1"/>
    <col min="10771" max="10771" width="11.28515625" style="51" customWidth="1"/>
    <col min="10772" max="10772" width="15.28515625" style="51" customWidth="1"/>
    <col min="10773" max="10773" width="0.42578125" style="51" customWidth="1"/>
    <col min="10774" max="10775" width="11.42578125" style="51"/>
    <col min="10776" max="10776" width="6.85546875" style="51" customWidth="1"/>
    <col min="10777" max="11008" width="11.42578125" style="51"/>
    <col min="11009" max="11009" width="10.140625" style="51" customWidth="1"/>
    <col min="11010" max="11010" width="20" style="51" customWidth="1"/>
    <col min="11011" max="11011" width="2.85546875" style="51" customWidth="1"/>
    <col min="11012" max="11013" width="4.5703125" style="51" customWidth="1"/>
    <col min="11014" max="11014" width="5.5703125" style="51" customWidth="1"/>
    <col min="11015" max="11017" width="11" style="51" customWidth="1"/>
    <col min="11018" max="11018" width="15.28515625" style="51" customWidth="1"/>
    <col min="11019" max="11019" width="1" style="51" customWidth="1"/>
    <col min="11020" max="11020" width="20" style="51" customWidth="1"/>
    <col min="11021" max="11021" width="2.85546875" style="51" customWidth="1"/>
    <col min="11022" max="11022" width="5.5703125" style="51" customWidth="1"/>
    <col min="11023" max="11023" width="4.5703125" style="51" customWidth="1"/>
    <col min="11024" max="11024" width="5.5703125" style="51" customWidth="1"/>
    <col min="11025" max="11026" width="11" style="51" customWidth="1"/>
    <col min="11027" max="11027" width="11.28515625" style="51" customWidth="1"/>
    <col min="11028" max="11028" width="15.28515625" style="51" customWidth="1"/>
    <col min="11029" max="11029" width="0.42578125" style="51" customWidth="1"/>
    <col min="11030" max="11031" width="11.42578125" style="51"/>
    <col min="11032" max="11032" width="6.85546875" style="51" customWidth="1"/>
    <col min="11033" max="11264" width="11.42578125" style="51"/>
    <col min="11265" max="11265" width="10.140625" style="51" customWidth="1"/>
    <col min="11266" max="11266" width="20" style="51" customWidth="1"/>
    <col min="11267" max="11267" width="2.85546875" style="51" customWidth="1"/>
    <col min="11268" max="11269" width="4.5703125" style="51" customWidth="1"/>
    <col min="11270" max="11270" width="5.5703125" style="51" customWidth="1"/>
    <col min="11271" max="11273" width="11" style="51" customWidth="1"/>
    <col min="11274" max="11274" width="15.28515625" style="51" customWidth="1"/>
    <col min="11275" max="11275" width="1" style="51" customWidth="1"/>
    <col min="11276" max="11276" width="20" style="51" customWidth="1"/>
    <col min="11277" max="11277" width="2.85546875" style="51" customWidth="1"/>
    <col min="11278" max="11278" width="5.5703125" style="51" customWidth="1"/>
    <col min="11279" max="11279" width="4.5703125" style="51" customWidth="1"/>
    <col min="11280" max="11280" width="5.5703125" style="51" customWidth="1"/>
    <col min="11281" max="11282" width="11" style="51" customWidth="1"/>
    <col min="11283" max="11283" width="11.28515625" style="51" customWidth="1"/>
    <col min="11284" max="11284" width="15.28515625" style="51" customWidth="1"/>
    <col min="11285" max="11285" width="0.42578125" style="51" customWidth="1"/>
    <col min="11286" max="11287" width="11.42578125" style="51"/>
    <col min="11288" max="11288" width="6.85546875" style="51" customWidth="1"/>
    <col min="11289" max="11520" width="11.42578125" style="51"/>
    <col min="11521" max="11521" width="10.140625" style="51" customWidth="1"/>
    <col min="11522" max="11522" width="20" style="51" customWidth="1"/>
    <col min="11523" max="11523" width="2.85546875" style="51" customWidth="1"/>
    <col min="11524" max="11525" width="4.5703125" style="51" customWidth="1"/>
    <col min="11526" max="11526" width="5.5703125" style="51" customWidth="1"/>
    <col min="11527" max="11529" width="11" style="51" customWidth="1"/>
    <col min="11530" max="11530" width="15.28515625" style="51" customWidth="1"/>
    <col min="11531" max="11531" width="1" style="51" customWidth="1"/>
    <col min="11532" max="11532" width="20" style="51" customWidth="1"/>
    <col min="11533" max="11533" width="2.85546875" style="51" customWidth="1"/>
    <col min="11534" max="11534" width="5.5703125" style="51" customWidth="1"/>
    <col min="11535" max="11535" width="4.5703125" style="51" customWidth="1"/>
    <col min="11536" max="11536" width="5.5703125" style="51" customWidth="1"/>
    <col min="11537" max="11538" width="11" style="51" customWidth="1"/>
    <col min="11539" max="11539" width="11.28515625" style="51" customWidth="1"/>
    <col min="11540" max="11540" width="15.28515625" style="51" customWidth="1"/>
    <col min="11541" max="11541" width="0.42578125" style="51" customWidth="1"/>
    <col min="11542" max="11543" width="11.42578125" style="51"/>
    <col min="11544" max="11544" width="6.85546875" style="51" customWidth="1"/>
    <col min="11545" max="11776" width="11.42578125" style="51"/>
    <col min="11777" max="11777" width="10.140625" style="51" customWidth="1"/>
    <col min="11778" max="11778" width="20" style="51" customWidth="1"/>
    <col min="11779" max="11779" width="2.85546875" style="51" customWidth="1"/>
    <col min="11780" max="11781" width="4.5703125" style="51" customWidth="1"/>
    <col min="11782" max="11782" width="5.5703125" style="51" customWidth="1"/>
    <col min="11783" max="11785" width="11" style="51" customWidth="1"/>
    <col min="11786" max="11786" width="15.28515625" style="51" customWidth="1"/>
    <col min="11787" max="11787" width="1" style="51" customWidth="1"/>
    <col min="11788" max="11788" width="20" style="51" customWidth="1"/>
    <col min="11789" max="11789" width="2.85546875" style="51" customWidth="1"/>
    <col min="11790" max="11790" width="5.5703125" style="51" customWidth="1"/>
    <col min="11791" max="11791" width="4.5703125" style="51" customWidth="1"/>
    <col min="11792" max="11792" width="5.5703125" style="51" customWidth="1"/>
    <col min="11793" max="11794" width="11" style="51" customWidth="1"/>
    <col min="11795" max="11795" width="11.28515625" style="51" customWidth="1"/>
    <col min="11796" max="11796" width="15.28515625" style="51" customWidth="1"/>
    <col min="11797" max="11797" width="0.42578125" style="51" customWidth="1"/>
    <col min="11798" max="11799" width="11.42578125" style="51"/>
    <col min="11800" max="11800" width="6.85546875" style="51" customWidth="1"/>
    <col min="11801" max="12032" width="11.42578125" style="51"/>
    <col min="12033" max="12033" width="10.140625" style="51" customWidth="1"/>
    <col min="12034" max="12034" width="20" style="51" customWidth="1"/>
    <col min="12035" max="12035" width="2.85546875" style="51" customWidth="1"/>
    <col min="12036" max="12037" width="4.5703125" style="51" customWidth="1"/>
    <col min="12038" max="12038" width="5.5703125" style="51" customWidth="1"/>
    <col min="12039" max="12041" width="11" style="51" customWidth="1"/>
    <col min="12042" max="12042" width="15.28515625" style="51" customWidth="1"/>
    <col min="12043" max="12043" width="1" style="51" customWidth="1"/>
    <col min="12044" max="12044" width="20" style="51" customWidth="1"/>
    <col min="12045" max="12045" width="2.85546875" style="51" customWidth="1"/>
    <col min="12046" max="12046" width="5.5703125" style="51" customWidth="1"/>
    <col min="12047" max="12047" width="4.5703125" style="51" customWidth="1"/>
    <col min="12048" max="12048" width="5.5703125" style="51" customWidth="1"/>
    <col min="12049" max="12050" width="11" style="51" customWidth="1"/>
    <col min="12051" max="12051" width="11.28515625" style="51" customWidth="1"/>
    <col min="12052" max="12052" width="15.28515625" style="51" customWidth="1"/>
    <col min="12053" max="12053" width="0.42578125" style="51" customWidth="1"/>
    <col min="12054" max="12055" width="11.42578125" style="51"/>
    <col min="12056" max="12056" width="6.85546875" style="51" customWidth="1"/>
    <col min="12057" max="12288" width="11.42578125" style="51"/>
    <col min="12289" max="12289" width="10.140625" style="51" customWidth="1"/>
    <col min="12290" max="12290" width="20" style="51" customWidth="1"/>
    <col min="12291" max="12291" width="2.85546875" style="51" customWidth="1"/>
    <col min="12292" max="12293" width="4.5703125" style="51" customWidth="1"/>
    <col min="12294" max="12294" width="5.5703125" style="51" customWidth="1"/>
    <col min="12295" max="12297" width="11" style="51" customWidth="1"/>
    <col min="12298" max="12298" width="15.28515625" style="51" customWidth="1"/>
    <col min="12299" max="12299" width="1" style="51" customWidth="1"/>
    <col min="12300" max="12300" width="20" style="51" customWidth="1"/>
    <col min="12301" max="12301" width="2.85546875" style="51" customWidth="1"/>
    <col min="12302" max="12302" width="5.5703125" style="51" customWidth="1"/>
    <col min="12303" max="12303" width="4.5703125" style="51" customWidth="1"/>
    <col min="12304" max="12304" width="5.5703125" style="51" customWidth="1"/>
    <col min="12305" max="12306" width="11" style="51" customWidth="1"/>
    <col min="12307" max="12307" width="11.28515625" style="51" customWidth="1"/>
    <col min="12308" max="12308" width="15.28515625" style="51" customWidth="1"/>
    <col min="12309" max="12309" width="0.42578125" style="51" customWidth="1"/>
    <col min="12310" max="12311" width="11.42578125" style="51"/>
    <col min="12312" max="12312" width="6.85546875" style="51" customWidth="1"/>
    <col min="12313" max="12544" width="11.42578125" style="51"/>
    <col min="12545" max="12545" width="10.140625" style="51" customWidth="1"/>
    <col min="12546" max="12546" width="20" style="51" customWidth="1"/>
    <col min="12547" max="12547" width="2.85546875" style="51" customWidth="1"/>
    <col min="12548" max="12549" width="4.5703125" style="51" customWidth="1"/>
    <col min="12550" max="12550" width="5.5703125" style="51" customWidth="1"/>
    <col min="12551" max="12553" width="11" style="51" customWidth="1"/>
    <col min="12554" max="12554" width="15.28515625" style="51" customWidth="1"/>
    <col min="12555" max="12555" width="1" style="51" customWidth="1"/>
    <col min="12556" max="12556" width="20" style="51" customWidth="1"/>
    <col min="12557" max="12557" width="2.85546875" style="51" customWidth="1"/>
    <col min="12558" max="12558" width="5.5703125" style="51" customWidth="1"/>
    <col min="12559" max="12559" width="4.5703125" style="51" customWidth="1"/>
    <col min="12560" max="12560" width="5.5703125" style="51" customWidth="1"/>
    <col min="12561" max="12562" width="11" style="51" customWidth="1"/>
    <col min="12563" max="12563" width="11.28515625" style="51" customWidth="1"/>
    <col min="12564" max="12564" width="15.28515625" style="51" customWidth="1"/>
    <col min="12565" max="12565" width="0.42578125" style="51" customWidth="1"/>
    <col min="12566" max="12567" width="11.42578125" style="51"/>
    <col min="12568" max="12568" width="6.85546875" style="51" customWidth="1"/>
    <col min="12569" max="12800" width="11.42578125" style="51"/>
    <col min="12801" max="12801" width="10.140625" style="51" customWidth="1"/>
    <col min="12802" max="12802" width="20" style="51" customWidth="1"/>
    <col min="12803" max="12803" width="2.85546875" style="51" customWidth="1"/>
    <col min="12804" max="12805" width="4.5703125" style="51" customWidth="1"/>
    <col min="12806" max="12806" width="5.5703125" style="51" customWidth="1"/>
    <col min="12807" max="12809" width="11" style="51" customWidth="1"/>
    <col min="12810" max="12810" width="15.28515625" style="51" customWidth="1"/>
    <col min="12811" max="12811" width="1" style="51" customWidth="1"/>
    <col min="12812" max="12812" width="20" style="51" customWidth="1"/>
    <col min="12813" max="12813" width="2.85546875" style="51" customWidth="1"/>
    <col min="12814" max="12814" width="5.5703125" style="51" customWidth="1"/>
    <col min="12815" max="12815" width="4.5703125" style="51" customWidth="1"/>
    <col min="12816" max="12816" width="5.5703125" style="51" customWidth="1"/>
    <col min="12817" max="12818" width="11" style="51" customWidth="1"/>
    <col min="12819" max="12819" width="11.28515625" style="51" customWidth="1"/>
    <col min="12820" max="12820" width="15.28515625" style="51" customWidth="1"/>
    <col min="12821" max="12821" width="0.42578125" style="51" customWidth="1"/>
    <col min="12822" max="12823" width="11.42578125" style="51"/>
    <col min="12824" max="12824" width="6.85546875" style="51" customWidth="1"/>
    <col min="12825" max="13056" width="11.42578125" style="51"/>
    <col min="13057" max="13057" width="10.140625" style="51" customWidth="1"/>
    <col min="13058" max="13058" width="20" style="51" customWidth="1"/>
    <col min="13059" max="13059" width="2.85546875" style="51" customWidth="1"/>
    <col min="13060" max="13061" width="4.5703125" style="51" customWidth="1"/>
    <col min="13062" max="13062" width="5.5703125" style="51" customWidth="1"/>
    <col min="13063" max="13065" width="11" style="51" customWidth="1"/>
    <col min="13066" max="13066" width="15.28515625" style="51" customWidth="1"/>
    <col min="13067" max="13067" width="1" style="51" customWidth="1"/>
    <col min="13068" max="13068" width="20" style="51" customWidth="1"/>
    <col min="13069" max="13069" width="2.85546875" style="51" customWidth="1"/>
    <col min="13070" max="13070" width="5.5703125" style="51" customWidth="1"/>
    <col min="13071" max="13071" width="4.5703125" style="51" customWidth="1"/>
    <col min="13072" max="13072" width="5.5703125" style="51" customWidth="1"/>
    <col min="13073" max="13074" width="11" style="51" customWidth="1"/>
    <col min="13075" max="13075" width="11.28515625" style="51" customWidth="1"/>
    <col min="13076" max="13076" width="15.28515625" style="51" customWidth="1"/>
    <col min="13077" max="13077" width="0.42578125" style="51" customWidth="1"/>
    <col min="13078" max="13079" width="11.42578125" style="51"/>
    <col min="13080" max="13080" width="6.85546875" style="51" customWidth="1"/>
    <col min="13081" max="13312" width="11.42578125" style="51"/>
    <col min="13313" max="13313" width="10.140625" style="51" customWidth="1"/>
    <col min="13314" max="13314" width="20" style="51" customWidth="1"/>
    <col min="13315" max="13315" width="2.85546875" style="51" customWidth="1"/>
    <col min="13316" max="13317" width="4.5703125" style="51" customWidth="1"/>
    <col min="13318" max="13318" width="5.5703125" style="51" customWidth="1"/>
    <col min="13319" max="13321" width="11" style="51" customWidth="1"/>
    <col min="13322" max="13322" width="15.28515625" style="51" customWidth="1"/>
    <col min="13323" max="13323" width="1" style="51" customWidth="1"/>
    <col min="13324" max="13324" width="20" style="51" customWidth="1"/>
    <col min="13325" max="13325" width="2.85546875" style="51" customWidth="1"/>
    <col min="13326" max="13326" width="5.5703125" style="51" customWidth="1"/>
    <col min="13327" max="13327" width="4.5703125" style="51" customWidth="1"/>
    <col min="13328" max="13328" width="5.5703125" style="51" customWidth="1"/>
    <col min="13329" max="13330" width="11" style="51" customWidth="1"/>
    <col min="13331" max="13331" width="11.28515625" style="51" customWidth="1"/>
    <col min="13332" max="13332" width="15.28515625" style="51" customWidth="1"/>
    <col min="13333" max="13333" width="0.42578125" style="51" customWidth="1"/>
    <col min="13334" max="13335" width="11.42578125" style="51"/>
    <col min="13336" max="13336" width="6.85546875" style="51" customWidth="1"/>
    <col min="13337" max="13568" width="11.42578125" style="51"/>
    <col min="13569" max="13569" width="10.140625" style="51" customWidth="1"/>
    <col min="13570" max="13570" width="20" style="51" customWidth="1"/>
    <col min="13571" max="13571" width="2.85546875" style="51" customWidth="1"/>
    <col min="13572" max="13573" width="4.5703125" style="51" customWidth="1"/>
    <col min="13574" max="13574" width="5.5703125" style="51" customWidth="1"/>
    <col min="13575" max="13577" width="11" style="51" customWidth="1"/>
    <col min="13578" max="13578" width="15.28515625" style="51" customWidth="1"/>
    <col min="13579" max="13579" width="1" style="51" customWidth="1"/>
    <col min="13580" max="13580" width="20" style="51" customWidth="1"/>
    <col min="13581" max="13581" width="2.85546875" style="51" customWidth="1"/>
    <col min="13582" max="13582" width="5.5703125" style="51" customWidth="1"/>
    <col min="13583" max="13583" width="4.5703125" style="51" customWidth="1"/>
    <col min="13584" max="13584" width="5.5703125" style="51" customWidth="1"/>
    <col min="13585" max="13586" width="11" style="51" customWidth="1"/>
    <col min="13587" max="13587" width="11.28515625" style="51" customWidth="1"/>
    <col min="13588" max="13588" width="15.28515625" style="51" customWidth="1"/>
    <col min="13589" max="13589" width="0.42578125" style="51" customWidth="1"/>
    <col min="13590" max="13591" width="11.42578125" style="51"/>
    <col min="13592" max="13592" width="6.85546875" style="51" customWidth="1"/>
    <col min="13593" max="13824" width="11.42578125" style="51"/>
    <col min="13825" max="13825" width="10.140625" style="51" customWidth="1"/>
    <col min="13826" max="13826" width="20" style="51" customWidth="1"/>
    <col min="13827" max="13827" width="2.85546875" style="51" customWidth="1"/>
    <col min="13828" max="13829" width="4.5703125" style="51" customWidth="1"/>
    <col min="13830" max="13830" width="5.5703125" style="51" customWidth="1"/>
    <col min="13831" max="13833" width="11" style="51" customWidth="1"/>
    <col min="13834" max="13834" width="15.28515625" style="51" customWidth="1"/>
    <col min="13835" max="13835" width="1" style="51" customWidth="1"/>
    <col min="13836" max="13836" width="20" style="51" customWidth="1"/>
    <col min="13837" max="13837" width="2.85546875" style="51" customWidth="1"/>
    <col min="13838" max="13838" width="5.5703125" style="51" customWidth="1"/>
    <col min="13839" max="13839" width="4.5703125" style="51" customWidth="1"/>
    <col min="13840" max="13840" width="5.5703125" style="51" customWidth="1"/>
    <col min="13841" max="13842" width="11" style="51" customWidth="1"/>
    <col min="13843" max="13843" width="11.28515625" style="51" customWidth="1"/>
    <col min="13844" max="13844" width="15.28515625" style="51" customWidth="1"/>
    <col min="13845" max="13845" width="0.42578125" style="51" customWidth="1"/>
    <col min="13846" max="13847" width="11.42578125" style="51"/>
    <col min="13848" max="13848" width="6.85546875" style="51" customWidth="1"/>
    <col min="13849" max="14080" width="11.42578125" style="51"/>
    <col min="14081" max="14081" width="10.140625" style="51" customWidth="1"/>
    <col min="14082" max="14082" width="20" style="51" customWidth="1"/>
    <col min="14083" max="14083" width="2.85546875" style="51" customWidth="1"/>
    <col min="14084" max="14085" width="4.5703125" style="51" customWidth="1"/>
    <col min="14086" max="14086" width="5.5703125" style="51" customWidth="1"/>
    <col min="14087" max="14089" width="11" style="51" customWidth="1"/>
    <col min="14090" max="14090" width="15.28515625" style="51" customWidth="1"/>
    <col min="14091" max="14091" width="1" style="51" customWidth="1"/>
    <col min="14092" max="14092" width="20" style="51" customWidth="1"/>
    <col min="14093" max="14093" width="2.85546875" style="51" customWidth="1"/>
    <col min="14094" max="14094" width="5.5703125" style="51" customWidth="1"/>
    <col min="14095" max="14095" width="4.5703125" style="51" customWidth="1"/>
    <col min="14096" max="14096" width="5.5703125" style="51" customWidth="1"/>
    <col min="14097" max="14098" width="11" style="51" customWidth="1"/>
    <col min="14099" max="14099" width="11.28515625" style="51" customWidth="1"/>
    <col min="14100" max="14100" width="15.28515625" style="51" customWidth="1"/>
    <col min="14101" max="14101" width="0.42578125" style="51" customWidth="1"/>
    <col min="14102" max="14103" width="11.42578125" style="51"/>
    <col min="14104" max="14104" width="6.85546875" style="51" customWidth="1"/>
    <col min="14105" max="14336" width="11.42578125" style="51"/>
    <col min="14337" max="14337" width="10.140625" style="51" customWidth="1"/>
    <col min="14338" max="14338" width="20" style="51" customWidth="1"/>
    <col min="14339" max="14339" width="2.85546875" style="51" customWidth="1"/>
    <col min="14340" max="14341" width="4.5703125" style="51" customWidth="1"/>
    <col min="14342" max="14342" width="5.5703125" style="51" customWidth="1"/>
    <col min="14343" max="14345" width="11" style="51" customWidth="1"/>
    <col min="14346" max="14346" width="15.28515625" style="51" customWidth="1"/>
    <col min="14347" max="14347" width="1" style="51" customWidth="1"/>
    <col min="14348" max="14348" width="20" style="51" customWidth="1"/>
    <col min="14349" max="14349" width="2.85546875" style="51" customWidth="1"/>
    <col min="14350" max="14350" width="5.5703125" style="51" customWidth="1"/>
    <col min="14351" max="14351" width="4.5703125" style="51" customWidth="1"/>
    <col min="14352" max="14352" width="5.5703125" style="51" customWidth="1"/>
    <col min="14353" max="14354" width="11" style="51" customWidth="1"/>
    <col min="14355" max="14355" width="11.28515625" style="51" customWidth="1"/>
    <col min="14356" max="14356" width="15.28515625" style="51" customWidth="1"/>
    <col min="14357" max="14357" width="0.42578125" style="51" customWidth="1"/>
    <col min="14358" max="14359" width="11.42578125" style="51"/>
    <col min="14360" max="14360" width="6.85546875" style="51" customWidth="1"/>
    <col min="14361" max="14592" width="11.42578125" style="51"/>
    <col min="14593" max="14593" width="10.140625" style="51" customWidth="1"/>
    <col min="14594" max="14594" width="20" style="51" customWidth="1"/>
    <col min="14595" max="14595" width="2.85546875" style="51" customWidth="1"/>
    <col min="14596" max="14597" width="4.5703125" style="51" customWidth="1"/>
    <col min="14598" max="14598" width="5.5703125" style="51" customWidth="1"/>
    <col min="14599" max="14601" width="11" style="51" customWidth="1"/>
    <col min="14602" max="14602" width="15.28515625" style="51" customWidth="1"/>
    <col min="14603" max="14603" width="1" style="51" customWidth="1"/>
    <col min="14604" max="14604" width="20" style="51" customWidth="1"/>
    <col min="14605" max="14605" width="2.85546875" style="51" customWidth="1"/>
    <col min="14606" max="14606" width="5.5703125" style="51" customWidth="1"/>
    <col min="14607" max="14607" width="4.5703125" style="51" customWidth="1"/>
    <col min="14608" max="14608" width="5.5703125" style="51" customWidth="1"/>
    <col min="14609" max="14610" width="11" style="51" customWidth="1"/>
    <col min="14611" max="14611" width="11.28515625" style="51" customWidth="1"/>
    <col min="14612" max="14612" width="15.28515625" style="51" customWidth="1"/>
    <col min="14613" max="14613" width="0.42578125" style="51" customWidth="1"/>
    <col min="14614" max="14615" width="11.42578125" style="51"/>
    <col min="14616" max="14616" width="6.85546875" style="51" customWidth="1"/>
    <col min="14617" max="14848" width="11.42578125" style="51"/>
    <col min="14849" max="14849" width="10.140625" style="51" customWidth="1"/>
    <col min="14850" max="14850" width="20" style="51" customWidth="1"/>
    <col min="14851" max="14851" width="2.85546875" style="51" customWidth="1"/>
    <col min="14852" max="14853" width="4.5703125" style="51" customWidth="1"/>
    <col min="14854" max="14854" width="5.5703125" style="51" customWidth="1"/>
    <col min="14855" max="14857" width="11" style="51" customWidth="1"/>
    <col min="14858" max="14858" width="15.28515625" style="51" customWidth="1"/>
    <col min="14859" max="14859" width="1" style="51" customWidth="1"/>
    <col min="14860" max="14860" width="20" style="51" customWidth="1"/>
    <col min="14861" max="14861" width="2.85546875" style="51" customWidth="1"/>
    <col min="14862" max="14862" width="5.5703125" style="51" customWidth="1"/>
    <col min="14863" max="14863" width="4.5703125" style="51" customWidth="1"/>
    <col min="14864" max="14864" width="5.5703125" style="51" customWidth="1"/>
    <col min="14865" max="14866" width="11" style="51" customWidth="1"/>
    <col min="14867" max="14867" width="11.28515625" style="51" customWidth="1"/>
    <col min="14868" max="14868" width="15.28515625" style="51" customWidth="1"/>
    <col min="14869" max="14869" width="0.42578125" style="51" customWidth="1"/>
    <col min="14870" max="14871" width="11.42578125" style="51"/>
    <col min="14872" max="14872" width="6.85546875" style="51" customWidth="1"/>
    <col min="14873" max="15104" width="11.42578125" style="51"/>
    <col min="15105" max="15105" width="10.140625" style="51" customWidth="1"/>
    <col min="15106" max="15106" width="20" style="51" customWidth="1"/>
    <col min="15107" max="15107" width="2.85546875" style="51" customWidth="1"/>
    <col min="15108" max="15109" width="4.5703125" style="51" customWidth="1"/>
    <col min="15110" max="15110" width="5.5703125" style="51" customWidth="1"/>
    <col min="15111" max="15113" width="11" style="51" customWidth="1"/>
    <col min="15114" max="15114" width="15.28515625" style="51" customWidth="1"/>
    <col min="15115" max="15115" width="1" style="51" customWidth="1"/>
    <col min="15116" max="15116" width="20" style="51" customWidth="1"/>
    <col min="15117" max="15117" width="2.85546875" style="51" customWidth="1"/>
    <col min="15118" max="15118" width="5.5703125" style="51" customWidth="1"/>
    <col min="15119" max="15119" width="4.5703125" style="51" customWidth="1"/>
    <col min="15120" max="15120" width="5.5703125" style="51" customWidth="1"/>
    <col min="15121" max="15122" width="11" style="51" customWidth="1"/>
    <col min="15123" max="15123" width="11.28515625" style="51" customWidth="1"/>
    <col min="15124" max="15124" width="15.28515625" style="51" customWidth="1"/>
    <col min="15125" max="15125" width="0.42578125" style="51" customWidth="1"/>
    <col min="15126" max="15127" width="11.42578125" style="51"/>
    <col min="15128" max="15128" width="6.85546875" style="51" customWidth="1"/>
    <col min="15129" max="15360" width="11.42578125" style="51"/>
    <col min="15361" max="15361" width="10.140625" style="51" customWidth="1"/>
    <col min="15362" max="15362" width="20" style="51" customWidth="1"/>
    <col min="15363" max="15363" width="2.85546875" style="51" customWidth="1"/>
    <col min="15364" max="15365" width="4.5703125" style="51" customWidth="1"/>
    <col min="15366" max="15366" width="5.5703125" style="51" customWidth="1"/>
    <col min="15367" max="15369" width="11" style="51" customWidth="1"/>
    <col min="15370" max="15370" width="15.28515625" style="51" customWidth="1"/>
    <col min="15371" max="15371" width="1" style="51" customWidth="1"/>
    <col min="15372" max="15372" width="20" style="51" customWidth="1"/>
    <col min="15373" max="15373" width="2.85546875" style="51" customWidth="1"/>
    <col min="15374" max="15374" width="5.5703125" style="51" customWidth="1"/>
    <col min="15375" max="15375" width="4.5703125" style="51" customWidth="1"/>
    <col min="15376" max="15376" width="5.5703125" style="51" customWidth="1"/>
    <col min="15377" max="15378" width="11" style="51" customWidth="1"/>
    <col min="15379" max="15379" width="11.28515625" style="51" customWidth="1"/>
    <col min="15380" max="15380" width="15.28515625" style="51" customWidth="1"/>
    <col min="15381" max="15381" width="0.42578125" style="51" customWidth="1"/>
    <col min="15382" max="15383" width="11.42578125" style="51"/>
    <col min="15384" max="15384" width="6.85546875" style="51" customWidth="1"/>
    <col min="15385" max="15616" width="11.42578125" style="51"/>
    <col min="15617" max="15617" width="10.140625" style="51" customWidth="1"/>
    <col min="15618" max="15618" width="20" style="51" customWidth="1"/>
    <col min="15619" max="15619" width="2.85546875" style="51" customWidth="1"/>
    <col min="15620" max="15621" width="4.5703125" style="51" customWidth="1"/>
    <col min="15622" max="15622" width="5.5703125" style="51" customWidth="1"/>
    <col min="15623" max="15625" width="11" style="51" customWidth="1"/>
    <col min="15626" max="15626" width="15.28515625" style="51" customWidth="1"/>
    <col min="15627" max="15627" width="1" style="51" customWidth="1"/>
    <col min="15628" max="15628" width="20" style="51" customWidth="1"/>
    <col min="15629" max="15629" width="2.85546875" style="51" customWidth="1"/>
    <col min="15630" max="15630" width="5.5703125" style="51" customWidth="1"/>
    <col min="15631" max="15631" width="4.5703125" style="51" customWidth="1"/>
    <col min="15632" max="15632" width="5.5703125" style="51" customWidth="1"/>
    <col min="15633" max="15634" width="11" style="51" customWidth="1"/>
    <col min="15635" max="15635" width="11.28515625" style="51" customWidth="1"/>
    <col min="15636" max="15636" width="15.28515625" style="51" customWidth="1"/>
    <col min="15637" max="15637" width="0.42578125" style="51" customWidth="1"/>
    <col min="15638" max="15639" width="11.42578125" style="51"/>
    <col min="15640" max="15640" width="6.85546875" style="51" customWidth="1"/>
    <col min="15641" max="15872" width="11.42578125" style="51"/>
    <col min="15873" max="15873" width="10.140625" style="51" customWidth="1"/>
    <col min="15874" max="15874" width="20" style="51" customWidth="1"/>
    <col min="15875" max="15875" width="2.85546875" style="51" customWidth="1"/>
    <col min="15876" max="15877" width="4.5703125" style="51" customWidth="1"/>
    <col min="15878" max="15878" width="5.5703125" style="51" customWidth="1"/>
    <col min="15879" max="15881" width="11" style="51" customWidth="1"/>
    <col min="15882" max="15882" width="15.28515625" style="51" customWidth="1"/>
    <col min="15883" max="15883" width="1" style="51" customWidth="1"/>
    <col min="15884" max="15884" width="20" style="51" customWidth="1"/>
    <col min="15885" max="15885" width="2.85546875" style="51" customWidth="1"/>
    <col min="15886" max="15886" width="5.5703125" style="51" customWidth="1"/>
    <col min="15887" max="15887" width="4.5703125" style="51" customWidth="1"/>
    <col min="15888" max="15888" width="5.5703125" style="51" customWidth="1"/>
    <col min="15889" max="15890" width="11" style="51" customWidth="1"/>
    <col min="15891" max="15891" width="11.28515625" style="51" customWidth="1"/>
    <col min="15892" max="15892" width="15.28515625" style="51" customWidth="1"/>
    <col min="15893" max="15893" width="0.42578125" style="51" customWidth="1"/>
    <col min="15894" max="15895" width="11.42578125" style="51"/>
    <col min="15896" max="15896" width="6.85546875" style="51" customWidth="1"/>
    <col min="15897" max="16128" width="11.42578125" style="51"/>
    <col min="16129" max="16129" width="10.140625" style="51" customWidth="1"/>
    <col min="16130" max="16130" width="20" style="51" customWidth="1"/>
    <col min="16131" max="16131" width="2.85546875" style="51" customWidth="1"/>
    <col min="16132" max="16133" width="4.5703125" style="51" customWidth="1"/>
    <col min="16134" max="16134" width="5.5703125" style="51" customWidth="1"/>
    <col min="16135" max="16137" width="11" style="51" customWidth="1"/>
    <col min="16138" max="16138" width="15.28515625" style="51" customWidth="1"/>
    <col min="16139" max="16139" width="1" style="51" customWidth="1"/>
    <col min="16140" max="16140" width="20" style="51" customWidth="1"/>
    <col min="16141" max="16141" width="2.85546875" style="51" customWidth="1"/>
    <col min="16142" max="16142" width="5.5703125" style="51" customWidth="1"/>
    <col min="16143" max="16143" width="4.5703125" style="51" customWidth="1"/>
    <col min="16144" max="16144" width="5.5703125" style="51" customWidth="1"/>
    <col min="16145" max="16146" width="11" style="51" customWidth="1"/>
    <col min="16147" max="16147" width="11.28515625" style="51" customWidth="1"/>
    <col min="16148" max="16148" width="15.28515625" style="51" customWidth="1"/>
    <col min="16149" max="16149" width="0.42578125" style="51" customWidth="1"/>
    <col min="16150" max="16151" width="11.42578125" style="51"/>
    <col min="16152" max="16152" width="6.85546875" style="51" customWidth="1"/>
    <col min="16153" max="16384" width="11.42578125" style="51"/>
  </cols>
  <sheetData>
    <row r="1" spans="2:30" ht="21.75" thickBot="1" x14ac:dyDescent="0.3">
      <c r="B1" s="164" t="s">
        <v>92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2:30" ht="29.25" thickBot="1" x14ac:dyDescent="0.3">
      <c r="B2" s="48" t="s">
        <v>0</v>
      </c>
      <c r="C2" s="52"/>
      <c r="D2" s="53">
        <v>7</v>
      </c>
      <c r="E2" s="54"/>
      <c r="F2" s="55"/>
      <c r="G2" s="55"/>
      <c r="H2" s="56"/>
      <c r="I2" s="56"/>
      <c r="J2" s="56"/>
      <c r="K2" s="57"/>
      <c r="L2" s="56"/>
      <c r="M2" s="58"/>
      <c r="N2" s="58"/>
      <c r="O2" s="58"/>
      <c r="P2" s="56"/>
      <c r="Q2" s="59" t="s">
        <v>93</v>
      </c>
      <c r="R2" s="59"/>
      <c r="S2" s="60">
        <v>15</v>
      </c>
      <c r="T2" s="56"/>
    </row>
    <row r="3" spans="2:30" ht="19.5" thickBot="1" x14ac:dyDescent="0.3">
      <c r="B3" s="48" t="s">
        <v>1</v>
      </c>
      <c r="C3" s="61"/>
      <c r="D3" s="62"/>
      <c r="E3" s="63"/>
      <c r="F3" s="64"/>
      <c r="G3" s="65">
        <v>46309</v>
      </c>
      <c r="H3" s="56"/>
      <c r="I3" s="56"/>
      <c r="J3" s="56"/>
      <c r="K3" s="57"/>
      <c r="L3" s="56"/>
      <c r="M3" s="58"/>
      <c r="N3" s="58"/>
      <c r="O3" s="58"/>
      <c r="P3" s="56"/>
      <c r="Q3" s="59" t="s">
        <v>94</v>
      </c>
      <c r="R3" s="59"/>
      <c r="S3" s="60">
        <v>7.5</v>
      </c>
      <c r="T3" s="56"/>
    </row>
    <row r="4" spans="2:30" ht="32.25" thickBot="1" x14ac:dyDescent="0.3">
      <c r="B4" s="48" t="s">
        <v>95</v>
      </c>
      <c r="C4" s="52"/>
      <c r="D4" s="66">
        <v>5</v>
      </c>
      <c r="E4" s="67"/>
      <c r="F4" s="56"/>
      <c r="G4" s="56"/>
      <c r="H4" s="56"/>
      <c r="I4" s="56"/>
      <c r="J4" s="56"/>
      <c r="K4" s="57"/>
      <c r="L4" s="68" t="s">
        <v>95</v>
      </c>
      <c r="M4" s="69"/>
      <c r="N4" s="70">
        <v>6</v>
      </c>
      <c r="O4" s="71"/>
      <c r="P4" s="56"/>
      <c r="Q4" s="56"/>
      <c r="R4" s="56"/>
      <c r="S4" s="56"/>
      <c r="T4" s="56"/>
    </row>
    <row r="5" spans="2:30" ht="32.25" thickBot="1" x14ac:dyDescent="0.3">
      <c r="B5" s="48" t="s">
        <v>96</v>
      </c>
      <c r="C5" s="61"/>
      <c r="D5" s="72"/>
      <c r="E5" s="73"/>
      <c r="F5" s="74"/>
      <c r="G5" s="70" t="s">
        <v>144</v>
      </c>
      <c r="H5" s="74"/>
      <c r="I5" s="74"/>
      <c r="J5" s="75"/>
      <c r="K5" s="57"/>
      <c r="L5" s="68" t="s">
        <v>96</v>
      </c>
      <c r="M5" s="69"/>
      <c r="N5" s="73"/>
      <c r="O5" s="73"/>
      <c r="P5" s="74"/>
      <c r="Q5" s="70" t="s">
        <v>58</v>
      </c>
      <c r="R5" s="74"/>
      <c r="S5" s="74"/>
      <c r="T5" s="75"/>
    </row>
    <row r="6" spans="2:30" ht="21" x14ac:dyDescent="0.25">
      <c r="B6" s="76" t="s">
        <v>97</v>
      </c>
      <c r="C6" s="77"/>
      <c r="D6" s="78"/>
      <c r="E6" s="79"/>
      <c r="F6" s="165"/>
      <c r="G6" s="165"/>
      <c r="H6" s="165"/>
      <c r="I6" s="165"/>
      <c r="J6" s="165"/>
      <c r="K6" s="80"/>
      <c r="L6" s="76" t="s">
        <v>97</v>
      </c>
      <c r="M6" s="79"/>
      <c r="N6" s="81"/>
      <c r="O6" s="79"/>
      <c r="P6" s="165"/>
      <c r="Q6" s="165"/>
      <c r="R6" s="165"/>
      <c r="S6" s="165"/>
      <c r="T6" s="165"/>
    </row>
    <row r="7" spans="2:30" ht="33" x14ac:dyDescent="0.25">
      <c r="B7" s="82" t="s">
        <v>98</v>
      </c>
      <c r="C7" s="83" t="s">
        <v>99</v>
      </c>
      <c r="D7" s="84" t="s">
        <v>100</v>
      </c>
      <c r="E7" s="85" t="s">
        <v>101</v>
      </c>
      <c r="F7" s="86" t="s">
        <v>102</v>
      </c>
      <c r="G7" s="87" t="s">
        <v>103</v>
      </c>
      <c r="H7" s="87" t="s">
        <v>104</v>
      </c>
      <c r="I7" s="87" t="s">
        <v>105</v>
      </c>
      <c r="J7" s="87" t="s">
        <v>106</v>
      </c>
      <c r="K7" s="56" t="s">
        <v>107</v>
      </c>
      <c r="L7" s="82" t="s">
        <v>98</v>
      </c>
      <c r="M7" s="83" t="s">
        <v>99</v>
      </c>
      <c r="N7" s="84" t="s">
        <v>100</v>
      </c>
      <c r="O7" s="85" t="s">
        <v>101</v>
      </c>
      <c r="P7" s="86" t="s">
        <v>102</v>
      </c>
      <c r="Q7" s="87" t="s">
        <v>103</v>
      </c>
      <c r="R7" s="87" t="s">
        <v>104</v>
      </c>
      <c r="S7" s="87" t="s">
        <v>105</v>
      </c>
      <c r="T7" s="87" t="s">
        <v>106</v>
      </c>
      <c r="U7" s="56" t="s">
        <v>107</v>
      </c>
      <c r="AA7" s="86"/>
      <c r="AB7" s="88"/>
      <c r="AC7" s="85"/>
      <c r="AD7" s="89"/>
    </row>
    <row r="8" spans="2:30" ht="31.5" x14ac:dyDescent="0.25">
      <c r="B8" s="96" t="s">
        <v>220</v>
      </c>
      <c r="C8" s="125">
        <v>177</v>
      </c>
      <c r="D8" s="124">
        <v>18</v>
      </c>
      <c r="E8" s="98">
        <v>18</v>
      </c>
      <c r="F8" s="90"/>
      <c r="G8" s="90"/>
      <c r="H8" s="90"/>
      <c r="I8" s="90"/>
      <c r="J8" s="90"/>
      <c r="K8" s="95"/>
      <c r="L8" s="91" t="s">
        <v>125</v>
      </c>
      <c r="M8" s="92">
        <v>175</v>
      </c>
      <c r="N8" s="93">
        <v>20</v>
      </c>
      <c r="O8" s="94">
        <v>9</v>
      </c>
      <c r="P8" s="90"/>
      <c r="Q8" s="90"/>
      <c r="R8" s="90"/>
      <c r="S8" s="90"/>
      <c r="T8" s="90"/>
      <c r="U8" s="90"/>
    </row>
    <row r="9" spans="2:30" ht="31.5" x14ac:dyDescent="0.25">
      <c r="B9" s="96" t="s">
        <v>145</v>
      </c>
      <c r="C9" s="125">
        <v>83</v>
      </c>
      <c r="D9" s="124">
        <v>64</v>
      </c>
      <c r="E9" s="98">
        <v>12</v>
      </c>
      <c r="F9" s="90"/>
      <c r="G9" s="90"/>
      <c r="H9" s="90"/>
      <c r="I9" s="90"/>
      <c r="J9" s="90"/>
      <c r="K9" s="95"/>
      <c r="L9" s="91" t="s">
        <v>67</v>
      </c>
      <c r="M9" s="92">
        <v>139</v>
      </c>
      <c r="N9" s="93">
        <v>49</v>
      </c>
      <c r="O9" s="94">
        <v>6</v>
      </c>
      <c r="P9" s="90"/>
      <c r="Q9" s="90"/>
      <c r="R9" s="90"/>
      <c r="S9" s="90"/>
      <c r="T9" s="90"/>
      <c r="U9" s="90"/>
    </row>
    <row r="10" spans="2:30" ht="31.5" x14ac:dyDescent="0.25">
      <c r="B10" s="96" t="s">
        <v>146</v>
      </c>
      <c r="C10" s="125">
        <v>128</v>
      </c>
      <c r="D10" s="124">
        <v>58</v>
      </c>
      <c r="E10" s="98">
        <v>12</v>
      </c>
      <c r="F10" s="90"/>
      <c r="G10" s="90"/>
      <c r="H10" s="90"/>
      <c r="I10" s="90"/>
      <c r="J10" s="90"/>
      <c r="K10" s="95"/>
      <c r="L10" s="91" t="s">
        <v>126</v>
      </c>
      <c r="M10" s="92">
        <v>152</v>
      </c>
      <c r="N10" s="93">
        <v>38</v>
      </c>
      <c r="O10" s="94">
        <v>12</v>
      </c>
      <c r="P10" s="90"/>
      <c r="Q10" s="90"/>
      <c r="R10" s="90"/>
      <c r="S10" s="90"/>
      <c r="T10" s="90"/>
      <c r="U10" s="90"/>
    </row>
    <row r="11" spans="2:30" ht="31.5" x14ac:dyDescent="0.25">
      <c r="B11" s="96" t="s">
        <v>43</v>
      </c>
      <c r="C11" s="125">
        <v>186</v>
      </c>
      <c r="D11" s="124">
        <v>11</v>
      </c>
      <c r="E11" s="98">
        <v>15</v>
      </c>
      <c r="F11" s="90"/>
      <c r="G11" s="90"/>
      <c r="H11" s="90"/>
      <c r="I11" s="90"/>
      <c r="J11" s="90"/>
      <c r="K11" s="95"/>
      <c r="L11" s="91" t="s">
        <v>127</v>
      </c>
      <c r="M11" s="92">
        <v>159</v>
      </c>
      <c r="N11" s="93">
        <v>33</v>
      </c>
      <c r="O11" s="94">
        <v>12</v>
      </c>
      <c r="P11" s="90"/>
      <c r="Q11" s="90"/>
      <c r="R11" s="90"/>
      <c r="S11" s="90"/>
      <c r="T11" s="90"/>
      <c r="U11" s="90"/>
    </row>
    <row r="12" spans="2:30" ht="31.5" x14ac:dyDescent="0.25">
      <c r="B12" s="96" t="s">
        <v>221</v>
      </c>
      <c r="C12" s="125">
        <v>205</v>
      </c>
      <c r="D12" s="124">
        <v>0</v>
      </c>
      <c r="E12" s="98">
        <v>6</v>
      </c>
      <c r="F12" s="90"/>
      <c r="G12" s="90"/>
      <c r="H12" s="90"/>
      <c r="I12" s="90"/>
      <c r="J12" s="90"/>
      <c r="K12" s="95"/>
      <c r="L12" s="110" t="s">
        <v>128</v>
      </c>
      <c r="M12" s="92">
        <v>150</v>
      </c>
      <c r="N12" s="93">
        <v>40</v>
      </c>
      <c r="O12" s="94">
        <v>9</v>
      </c>
      <c r="P12" s="90"/>
      <c r="Q12" s="90"/>
      <c r="R12" s="90"/>
      <c r="S12" s="90"/>
      <c r="T12" s="90"/>
      <c r="U12" s="90"/>
    </row>
    <row r="13" spans="2:30" ht="31.5" x14ac:dyDescent="0.25">
      <c r="B13" s="96" t="s">
        <v>41</v>
      </c>
      <c r="C13" s="125">
        <v>187</v>
      </c>
      <c r="D13" s="124">
        <v>10</v>
      </c>
      <c r="E13" s="98">
        <v>6</v>
      </c>
      <c r="F13" s="90"/>
      <c r="G13" s="90"/>
      <c r="H13" s="90"/>
      <c r="I13" s="90"/>
      <c r="J13" s="90"/>
      <c r="K13" s="95"/>
      <c r="L13" s="91" t="s">
        <v>56</v>
      </c>
      <c r="M13" s="92">
        <v>141</v>
      </c>
      <c r="N13" s="93">
        <v>47</v>
      </c>
      <c r="O13" s="94">
        <v>9</v>
      </c>
      <c r="P13" s="90"/>
      <c r="Q13" s="90"/>
      <c r="R13" s="90"/>
      <c r="S13" s="90"/>
      <c r="T13" s="90"/>
      <c r="U13" s="90"/>
    </row>
    <row r="14" spans="2:30" ht="31.5" x14ac:dyDescent="0.25">
      <c r="F14" s="120" t="s">
        <v>109</v>
      </c>
      <c r="G14" s="90"/>
      <c r="H14" s="90"/>
      <c r="I14" s="90"/>
      <c r="J14" s="90"/>
      <c r="K14" s="95"/>
      <c r="L14" s="96" t="s">
        <v>35</v>
      </c>
      <c r="M14" s="104">
        <v>178</v>
      </c>
      <c r="N14" s="97">
        <v>18</v>
      </c>
      <c r="O14" s="98">
        <v>12</v>
      </c>
      <c r="P14" s="90"/>
      <c r="Q14" s="90"/>
      <c r="R14" s="90"/>
      <c r="S14" s="90"/>
      <c r="T14" s="90"/>
      <c r="U14" s="90"/>
    </row>
    <row r="15" spans="2:30" ht="19.5" thickBot="1" x14ac:dyDescent="0.3">
      <c r="F15" s="102"/>
      <c r="G15" s="102"/>
      <c r="H15" s="102"/>
      <c r="I15" s="90"/>
      <c r="J15" s="90"/>
      <c r="K15" s="95"/>
      <c r="P15" s="90"/>
      <c r="Q15" s="90"/>
      <c r="R15" s="90"/>
      <c r="S15" s="90"/>
      <c r="T15" s="90"/>
      <c r="U15" s="90"/>
    </row>
    <row r="16" spans="2:30" ht="31.5" x14ac:dyDescent="0.25">
      <c r="B16" s="106" t="s">
        <v>110</v>
      </c>
      <c r="G16" s="96"/>
      <c r="H16" s="96"/>
      <c r="I16" s="99"/>
      <c r="J16" s="99"/>
      <c r="L16" s="107" t="s">
        <v>110</v>
      </c>
      <c r="Q16" s="96"/>
      <c r="R16" s="96"/>
      <c r="S16" s="99"/>
      <c r="T16" s="99"/>
    </row>
    <row r="17" spans="2:20" ht="31.5" x14ac:dyDescent="0.25">
      <c r="B17" s="107" t="s">
        <v>111</v>
      </c>
      <c r="G17" s="96"/>
      <c r="H17" s="96"/>
      <c r="I17" s="96"/>
      <c r="J17" s="96"/>
      <c r="L17" s="107" t="s">
        <v>111</v>
      </c>
      <c r="Q17" s="96"/>
      <c r="R17" s="96"/>
      <c r="S17" s="96"/>
      <c r="T17" s="96"/>
    </row>
    <row r="18" spans="2:20" ht="31.5" x14ac:dyDescent="0.25">
      <c r="B18" s="107" t="s">
        <v>112</v>
      </c>
      <c r="G18" s="108"/>
      <c r="H18" s="108"/>
      <c r="I18" s="96"/>
      <c r="J18" s="96"/>
      <c r="L18" s="107" t="s">
        <v>112</v>
      </c>
      <c r="Q18" s="108"/>
      <c r="R18" s="108"/>
      <c r="S18" s="96"/>
      <c r="T18" s="96"/>
    </row>
    <row r="19" spans="2:20" ht="31.5" x14ac:dyDescent="0.25">
      <c r="B19" s="107" t="s">
        <v>113</v>
      </c>
      <c r="F19" s="109"/>
      <c r="G19" s="96"/>
      <c r="H19" s="96"/>
      <c r="I19" s="96"/>
      <c r="J19" s="96"/>
      <c r="L19" s="107" t="s">
        <v>113</v>
      </c>
      <c r="P19" s="109"/>
      <c r="Q19" s="96"/>
      <c r="R19" s="96"/>
      <c r="S19" s="96"/>
      <c r="T19" s="96"/>
    </row>
    <row r="20" spans="2:20" ht="31.5" x14ac:dyDescent="0.25">
      <c r="B20" s="107" t="s">
        <v>114</v>
      </c>
      <c r="G20" s="110"/>
      <c r="H20" s="110"/>
      <c r="I20" s="110"/>
      <c r="J20" s="96"/>
      <c r="L20" s="107" t="s">
        <v>114</v>
      </c>
      <c r="Q20" s="110"/>
      <c r="R20" s="110"/>
      <c r="S20" s="110"/>
      <c r="T20" s="96"/>
    </row>
    <row r="21" spans="2:20" ht="32.25" thickBot="1" x14ac:dyDescent="0.3">
      <c r="B21" s="111" t="s">
        <v>115</v>
      </c>
      <c r="G21" s="110"/>
      <c r="H21" s="110"/>
      <c r="I21" s="110"/>
      <c r="J21" s="96"/>
      <c r="L21" s="111" t="s">
        <v>115</v>
      </c>
      <c r="Q21" s="110"/>
      <c r="R21" s="110"/>
      <c r="S21" s="110"/>
      <c r="T21" s="96"/>
    </row>
    <row r="23" spans="2:20" x14ac:dyDescent="0.25">
      <c r="B23" s="51" t="s">
        <v>116</v>
      </c>
      <c r="F23" s="112"/>
      <c r="G23" s="112"/>
      <c r="H23" s="112"/>
      <c r="I23" s="112"/>
      <c r="J23" s="112"/>
      <c r="L23" s="51" t="s">
        <v>116</v>
      </c>
      <c r="P23" s="112"/>
      <c r="Q23" s="112"/>
      <c r="R23" s="112"/>
      <c r="S23" s="112"/>
      <c r="T23" s="112"/>
    </row>
    <row r="25" spans="2:20" x14ac:dyDescent="0.25">
      <c r="B25" s="113" t="s">
        <v>117</v>
      </c>
      <c r="C25" s="114"/>
      <c r="D25" s="114"/>
      <c r="E25" s="115"/>
      <c r="F25" s="113"/>
      <c r="G25" s="113"/>
      <c r="H25" s="113"/>
      <c r="I25" s="113"/>
      <c r="J25" s="113"/>
      <c r="K25" s="116"/>
      <c r="L25" s="113"/>
      <c r="M25" s="115"/>
      <c r="N25" s="115"/>
      <c r="O25" s="115"/>
      <c r="P25" s="113"/>
      <c r="Q25" s="113"/>
      <c r="R25" s="113"/>
      <c r="S25" s="113"/>
    </row>
    <row r="26" spans="2:20" x14ac:dyDescent="0.25">
      <c r="B26" s="113"/>
      <c r="C26" s="114"/>
      <c r="D26" s="114"/>
      <c r="E26" s="115"/>
      <c r="F26" s="113"/>
      <c r="G26" s="113"/>
      <c r="H26" s="113"/>
      <c r="I26" s="113"/>
      <c r="J26" s="113"/>
      <c r="K26" s="116"/>
      <c r="L26" s="113"/>
      <c r="M26" s="115"/>
      <c r="N26" s="115"/>
      <c r="O26" s="115"/>
      <c r="P26" s="113"/>
      <c r="Q26" s="113"/>
      <c r="R26" s="113"/>
      <c r="S26" s="113"/>
    </row>
    <row r="27" spans="2:20" ht="21" x14ac:dyDescent="0.25">
      <c r="B27" s="117" t="s">
        <v>118</v>
      </c>
      <c r="C27" s="118"/>
      <c r="D27" s="118">
        <v>1</v>
      </c>
      <c r="E27" s="117" t="s">
        <v>119</v>
      </c>
      <c r="F27" s="117"/>
      <c r="L27" s="117" t="s">
        <v>120</v>
      </c>
      <c r="M27" s="117"/>
      <c r="N27" s="117">
        <v>4</v>
      </c>
      <c r="O27" s="117" t="s">
        <v>119</v>
      </c>
      <c r="P27" s="117"/>
    </row>
    <row r="28" spans="2:20" ht="21" x14ac:dyDescent="0.25">
      <c r="B28" s="117" t="s">
        <v>121</v>
      </c>
      <c r="C28" s="118"/>
      <c r="D28" s="118">
        <v>2</v>
      </c>
      <c r="E28" s="117" t="s">
        <v>82</v>
      </c>
      <c r="F28" s="117"/>
      <c r="L28" s="117" t="s">
        <v>122</v>
      </c>
      <c r="M28" s="117"/>
      <c r="N28" s="117">
        <v>5</v>
      </c>
      <c r="O28" s="117" t="s">
        <v>82</v>
      </c>
      <c r="P28" s="117"/>
    </row>
    <row r="29" spans="2:20" ht="21" x14ac:dyDescent="0.25">
      <c r="B29" s="117" t="s">
        <v>123</v>
      </c>
      <c r="C29" s="118"/>
      <c r="D29" s="118">
        <v>3</v>
      </c>
      <c r="E29" s="117" t="s">
        <v>82</v>
      </c>
      <c r="F29" s="117"/>
      <c r="L29" s="117" t="s">
        <v>124</v>
      </c>
      <c r="M29" s="117"/>
      <c r="N29" s="117">
        <v>6</v>
      </c>
      <c r="O29" s="117" t="s">
        <v>82</v>
      </c>
      <c r="P29" s="117"/>
    </row>
  </sheetData>
  <mergeCells count="3">
    <mergeCell ref="B1:R1"/>
    <mergeCell ref="F6:J6"/>
    <mergeCell ref="P6:T6"/>
  </mergeCells>
  <pageMargins left="0.7" right="0.7" top="0.78740157499999996" bottom="0.78740157499999996" header="0.3" footer="0.3"/>
  <pageSetup paperSize="9" scale="5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28"/>
  <sheetViews>
    <sheetView workbookViewId="0">
      <selection activeCell="K21" sqref="K21"/>
    </sheetView>
  </sheetViews>
  <sheetFormatPr baseColWidth="10" defaultRowHeight="18.75" x14ac:dyDescent="0.25"/>
  <cols>
    <col min="1" max="1" width="2.28515625" style="51" customWidth="1"/>
    <col min="2" max="2" width="20" style="51" customWidth="1"/>
    <col min="3" max="3" width="6.42578125" style="100" customWidth="1"/>
    <col min="4" max="4" width="7.42578125" style="100" customWidth="1"/>
    <col min="5" max="5" width="6.42578125" style="101" customWidth="1"/>
    <col min="6" max="6" width="4" style="51" customWidth="1"/>
    <col min="7" max="9" width="12.140625" style="51" customWidth="1"/>
    <col min="10" max="10" width="15.28515625" style="51" customWidth="1"/>
    <col min="11" max="11" width="15.28515625" style="105" customWidth="1"/>
    <col min="12" max="12" width="20" style="51" customWidth="1"/>
    <col min="13" max="13" width="6.42578125" style="101" customWidth="1"/>
    <col min="14" max="14" width="7.42578125" style="101" customWidth="1"/>
    <col min="15" max="15" width="6.28515625" style="101" customWidth="1"/>
    <col min="16" max="16" width="4" style="51" customWidth="1"/>
    <col min="17" max="19" width="12.140625" style="51" customWidth="1"/>
    <col min="20" max="21" width="15.28515625" style="51" customWidth="1"/>
    <col min="22" max="23" width="11.42578125" style="51"/>
    <col min="24" max="24" width="6.85546875" style="51" customWidth="1"/>
    <col min="25" max="256" width="11.42578125" style="51"/>
    <col min="257" max="257" width="10.140625" style="51" customWidth="1"/>
    <col min="258" max="258" width="20" style="51" customWidth="1"/>
    <col min="259" max="259" width="2.85546875" style="51" customWidth="1"/>
    <col min="260" max="261" width="4.5703125" style="51" customWidth="1"/>
    <col min="262" max="262" width="5.5703125" style="51" customWidth="1"/>
    <col min="263" max="265" width="11" style="51" customWidth="1"/>
    <col min="266" max="266" width="15.28515625" style="51" customWidth="1"/>
    <col min="267" max="267" width="1" style="51" customWidth="1"/>
    <col min="268" max="268" width="20" style="51" customWidth="1"/>
    <col min="269" max="269" width="2.85546875" style="51" customWidth="1"/>
    <col min="270" max="270" width="5.5703125" style="51" customWidth="1"/>
    <col min="271" max="271" width="4.5703125" style="51" customWidth="1"/>
    <col min="272" max="272" width="5.5703125" style="51" customWidth="1"/>
    <col min="273" max="274" width="11" style="51" customWidth="1"/>
    <col min="275" max="275" width="11.28515625" style="51" customWidth="1"/>
    <col min="276" max="276" width="15.28515625" style="51" customWidth="1"/>
    <col min="277" max="277" width="0.42578125" style="51" customWidth="1"/>
    <col min="278" max="279" width="11.42578125" style="51"/>
    <col min="280" max="280" width="6.85546875" style="51" customWidth="1"/>
    <col min="281" max="512" width="11.42578125" style="51"/>
    <col min="513" max="513" width="10.140625" style="51" customWidth="1"/>
    <col min="514" max="514" width="20" style="51" customWidth="1"/>
    <col min="515" max="515" width="2.85546875" style="51" customWidth="1"/>
    <col min="516" max="517" width="4.5703125" style="51" customWidth="1"/>
    <col min="518" max="518" width="5.5703125" style="51" customWidth="1"/>
    <col min="519" max="521" width="11" style="51" customWidth="1"/>
    <col min="522" max="522" width="15.28515625" style="51" customWidth="1"/>
    <col min="523" max="523" width="1" style="51" customWidth="1"/>
    <col min="524" max="524" width="20" style="51" customWidth="1"/>
    <col min="525" max="525" width="2.85546875" style="51" customWidth="1"/>
    <col min="526" max="526" width="5.5703125" style="51" customWidth="1"/>
    <col min="527" max="527" width="4.5703125" style="51" customWidth="1"/>
    <col min="528" max="528" width="5.5703125" style="51" customWidth="1"/>
    <col min="529" max="530" width="11" style="51" customWidth="1"/>
    <col min="531" max="531" width="11.28515625" style="51" customWidth="1"/>
    <col min="532" max="532" width="15.28515625" style="51" customWidth="1"/>
    <col min="533" max="533" width="0.42578125" style="51" customWidth="1"/>
    <col min="534" max="535" width="11.42578125" style="51"/>
    <col min="536" max="536" width="6.85546875" style="51" customWidth="1"/>
    <col min="537" max="768" width="11.42578125" style="51"/>
    <col min="769" max="769" width="10.140625" style="51" customWidth="1"/>
    <col min="770" max="770" width="20" style="51" customWidth="1"/>
    <col min="771" max="771" width="2.85546875" style="51" customWidth="1"/>
    <col min="772" max="773" width="4.5703125" style="51" customWidth="1"/>
    <col min="774" max="774" width="5.5703125" style="51" customWidth="1"/>
    <col min="775" max="777" width="11" style="51" customWidth="1"/>
    <col min="778" max="778" width="15.28515625" style="51" customWidth="1"/>
    <col min="779" max="779" width="1" style="51" customWidth="1"/>
    <col min="780" max="780" width="20" style="51" customWidth="1"/>
    <col min="781" max="781" width="2.85546875" style="51" customWidth="1"/>
    <col min="782" max="782" width="5.5703125" style="51" customWidth="1"/>
    <col min="783" max="783" width="4.5703125" style="51" customWidth="1"/>
    <col min="784" max="784" width="5.5703125" style="51" customWidth="1"/>
    <col min="785" max="786" width="11" style="51" customWidth="1"/>
    <col min="787" max="787" width="11.28515625" style="51" customWidth="1"/>
    <col min="788" max="788" width="15.28515625" style="51" customWidth="1"/>
    <col min="789" max="789" width="0.42578125" style="51" customWidth="1"/>
    <col min="790" max="791" width="11.42578125" style="51"/>
    <col min="792" max="792" width="6.85546875" style="51" customWidth="1"/>
    <col min="793" max="1024" width="11.42578125" style="51"/>
    <col min="1025" max="1025" width="10.140625" style="51" customWidth="1"/>
    <col min="1026" max="1026" width="20" style="51" customWidth="1"/>
    <col min="1027" max="1027" width="2.85546875" style="51" customWidth="1"/>
    <col min="1028" max="1029" width="4.5703125" style="51" customWidth="1"/>
    <col min="1030" max="1030" width="5.5703125" style="51" customWidth="1"/>
    <col min="1031" max="1033" width="11" style="51" customWidth="1"/>
    <col min="1034" max="1034" width="15.28515625" style="51" customWidth="1"/>
    <col min="1035" max="1035" width="1" style="51" customWidth="1"/>
    <col min="1036" max="1036" width="20" style="51" customWidth="1"/>
    <col min="1037" max="1037" width="2.85546875" style="51" customWidth="1"/>
    <col min="1038" max="1038" width="5.5703125" style="51" customWidth="1"/>
    <col min="1039" max="1039" width="4.5703125" style="51" customWidth="1"/>
    <col min="1040" max="1040" width="5.5703125" style="51" customWidth="1"/>
    <col min="1041" max="1042" width="11" style="51" customWidth="1"/>
    <col min="1043" max="1043" width="11.28515625" style="51" customWidth="1"/>
    <col min="1044" max="1044" width="15.28515625" style="51" customWidth="1"/>
    <col min="1045" max="1045" width="0.42578125" style="51" customWidth="1"/>
    <col min="1046" max="1047" width="11.42578125" style="51"/>
    <col min="1048" max="1048" width="6.85546875" style="51" customWidth="1"/>
    <col min="1049" max="1280" width="11.42578125" style="51"/>
    <col min="1281" max="1281" width="10.140625" style="51" customWidth="1"/>
    <col min="1282" max="1282" width="20" style="51" customWidth="1"/>
    <col min="1283" max="1283" width="2.85546875" style="51" customWidth="1"/>
    <col min="1284" max="1285" width="4.5703125" style="51" customWidth="1"/>
    <col min="1286" max="1286" width="5.5703125" style="51" customWidth="1"/>
    <col min="1287" max="1289" width="11" style="51" customWidth="1"/>
    <col min="1290" max="1290" width="15.28515625" style="51" customWidth="1"/>
    <col min="1291" max="1291" width="1" style="51" customWidth="1"/>
    <col min="1292" max="1292" width="20" style="51" customWidth="1"/>
    <col min="1293" max="1293" width="2.85546875" style="51" customWidth="1"/>
    <col min="1294" max="1294" width="5.5703125" style="51" customWidth="1"/>
    <col min="1295" max="1295" width="4.5703125" style="51" customWidth="1"/>
    <col min="1296" max="1296" width="5.5703125" style="51" customWidth="1"/>
    <col min="1297" max="1298" width="11" style="51" customWidth="1"/>
    <col min="1299" max="1299" width="11.28515625" style="51" customWidth="1"/>
    <col min="1300" max="1300" width="15.28515625" style="51" customWidth="1"/>
    <col min="1301" max="1301" width="0.42578125" style="51" customWidth="1"/>
    <col min="1302" max="1303" width="11.42578125" style="51"/>
    <col min="1304" max="1304" width="6.85546875" style="51" customWidth="1"/>
    <col min="1305" max="1536" width="11.42578125" style="51"/>
    <col min="1537" max="1537" width="10.140625" style="51" customWidth="1"/>
    <col min="1538" max="1538" width="20" style="51" customWidth="1"/>
    <col min="1539" max="1539" width="2.85546875" style="51" customWidth="1"/>
    <col min="1540" max="1541" width="4.5703125" style="51" customWidth="1"/>
    <col min="1542" max="1542" width="5.5703125" style="51" customWidth="1"/>
    <col min="1543" max="1545" width="11" style="51" customWidth="1"/>
    <col min="1546" max="1546" width="15.28515625" style="51" customWidth="1"/>
    <col min="1547" max="1547" width="1" style="51" customWidth="1"/>
    <col min="1548" max="1548" width="20" style="51" customWidth="1"/>
    <col min="1549" max="1549" width="2.85546875" style="51" customWidth="1"/>
    <col min="1550" max="1550" width="5.5703125" style="51" customWidth="1"/>
    <col min="1551" max="1551" width="4.5703125" style="51" customWidth="1"/>
    <col min="1552" max="1552" width="5.5703125" style="51" customWidth="1"/>
    <col min="1553" max="1554" width="11" style="51" customWidth="1"/>
    <col min="1555" max="1555" width="11.28515625" style="51" customWidth="1"/>
    <col min="1556" max="1556" width="15.28515625" style="51" customWidth="1"/>
    <col min="1557" max="1557" width="0.42578125" style="51" customWidth="1"/>
    <col min="1558" max="1559" width="11.42578125" style="51"/>
    <col min="1560" max="1560" width="6.85546875" style="51" customWidth="1"/>
    <col min="1561" max="1792" width="11.42578125" style="51"/>
    <col min="1793" max="1793" width="10.140625" style="51" customWidth="1"/>
    <col min="1794" max="1794" width="20" style="51" customWidth="1"/>
    <col min="1795" max="1795" width="2.85546875" style="51" customWidth="1"/>
    <col min="1796" max="1797" width="4.5703125" style="51" customWidth="1"/>
    <col min="1798" max="1798" width="5.5703125" style="51" customWidth="1"/>
    <col min="1799" max="1801" width="11" style="51" customWidth="1"/>
    <col min="1802" max="1802" width="15.28515625" style="51" customWidth="1"/>
    <col min="1803" max="1803" width="1" style="51" customWidth="1"/>
    <col min="1804" max="1804" width="20" style="51" customWidth="1"/>
    <col min="1805" max="1805" width="2.85546875" style="51" customWidth="1"/>
    <col min="1806" max="1806" width="5.5703125" style="51" customWidth="1"/>
    <col min="1807" max="1807" width="4.5703125" style="51" customWidth="1"/>
    <col min="1808" max="1808" width="5.5703125" style="51" customWidth="1"/>
    <col min="1809" max="1810" width="11" style="51" customWidth="1"/>
    <col min="1811" max="1811" width="11.28515625" style="51" customWidth="1"/>
    <col min="1812" max="1812" width="15.28515625" style="51" customWidth="1"/>
    <col min="1813" max="1813" width="0.42578125" style="51" customWidth="1"/>
    <col min="1814" max="1815" width="11.42578125" style="51"/>
    <col min="1816" max="1816" width="6.85546875" style="51" customWidth="1"/>
    <col min="1817" max="2048" width="11.42578125" style="51"/>
    <col min="2049" max="2049" width="10.140625" style="51" customWidth="1"/>
    <col min="2050" max="2050" width="20" style="51" customWidth="1"/>
    <col min="2051" max="2051" width="2.85546875" style="51" customWidth="1"/>
    <col min="2052" max="2053" width="4.5703125" style="51" customWidth="1"/>
    <col min="2054" max="2054" width="5.5703125" style="51" customWidth="1"/>
    <col min="2055" max="2057" width="11" style="51" customWidth="1"/>
    <col min="2058" max="2058" width="15.28515625" style="51" customWidth="1"/>
    <col min="2059" max="2059" width="1" style="51" customWidth="1"/>
    <col min="2060" max="2060" width="20" style="51" customWidth="1"/>
    <col min="2061" max="2061" width="2.85546875" style="51" customWidth="1"/>
    <col min="2062" max="2062" width="5.5703125" style="51" customWidth="1"/>
    <col min="2063" max="2063" width="4.5703125" style="51" customWidth="1"/>
    <col min="2064" max="2064" width="5.5703125" style="51" customWidth="1"/>
    <col min="2065" max="2066" width="11" style="51" customWidth="1"/>
    <col min="2067" max="2067" width="11.28515625" style="51" customWidth="1"/>
    <col min="2068" max="2068" width="15.28515625" style="51" customWidth="1"/>
    <col min="2069" max="2069" width="0.42578125" style="51" customWidth="1"/>
    <col min="2070" max="2071" width="11.42578125" style="51"/>
    <col min="2072" max="2072" width="6.85546875" style="51" customWidth="1"/>
    <col min="2073" max="2304" width="11.42578125" style="51"/>
    <col min="2305" max="2305" width="10.140625" style="51" customWidth="1"/>
    <col min="2306" max="2306" width="20" style="51" customWidth="1"/>
    <col min="2307" max="2307" width="2.85546875" style="51" customWidth="1"/>
    <col min="2308" max="2309" width="4.5703125" style="51" customWidth="1"/>
    <col min="2310" max="2310" width="5.5703125" style="51" customWidth="1"/>
    <col min="2311" max="2313" width="11" style="51" customWidth="1"/>
    <col min="2314" max="2314" width="15.28515625" style="51" customWidth="1"/>
    <col min="2315" max="2315" width="1" style="51" customWidth="1"/>
    <col min="2316" max="2316" width="20" style="51" customWidth="1"/>
    <col min="2317" max="2317" width="2.85546875" style="51" customWidth="1"/>
    <col min="2318" max="2318" width="5.5703125" style="51" customWidth="1"/>
    <col min="2319" max="2319" width="4.5703125" style="51" customWidth="1"/>
    <col min="2320" max="2320" width="5.5703125" style="51" customWidth="1"/>
    <col min="2321" max="2322" width="11" style="51" customWidth="1"/>
    <col min="2323" max="2323" width="11.28515625" style="51" customWidth="1"/>
    <col min="2324" max="2324" width="15.28515625" style="51" customWidth="1"/>
    <col min="2325" max="2325" width="0.42578125" style="51" customWidth="1"/>
    <col min="2326" max="2327" width="11.42578125" style="51"/>
    <col min="2328" max="2328" width="6.85546875" style="51" customWidth="1"/>
    <col min="2329" max="2560" width="11.42578125" style="51"/>
    <col min="2561" max="2561" width="10.140625" style="51" customWidth="1"/>
    <col min="2562" max="2562" width="20" style="51" customWidth="1"/>
    <col min="2563" max="2563" width="2.85546875" style="51" customWidth="1"/>
    <col min="2564" max="2565" width="4.5703125" style="51" customWidth="1"/>
    <col min="2566" max="2566" width="5.5703125" style="51" customWidth="1"/>
    <col min="2567" max="2569" width="11" style="51" customWidth="1"/>
    <col min="2570" max="2570" width="15.28515625" style="51" customWidth="1"/>
    <col min="2571" max="2571" width="1" style="51" customWidth="1"/>
    <col min="2572" max="2572" width="20" style="51" customWidth="1"/>
    <col min="2573" max="2573" width="2.85546875" style="51" customWidth="1"/>
    <col min="2574" max="2574" width="5.5703125" style="51" customWidth="1"/>
    <col min="2575" max="2575" width="4.5703125" style="51" customWidth="1"/>
    <col min="2576" max="2576" width="5.5703125" style="51" customWidth="1"/>
    <col min="2577" max="2578" width="11" style="51" customWidth="1"/>
    <col min="2579" max="2579" width="11.28515625" style="51" customWidth="1"/>
    <col min="2580" max="2580" width="15.28515625" style="51" customWidth="1"/>
    <col min="2581" max="2581" width="0.42578125" style="51" customWidth="1"/>
    <col min="2582" max="2583" width="11.42578125" style="51"/>
    <col min="2584" max="2584" width="6.85546875" style="51" customWidth="1"/>
    <col min="2585" max="2816" width="11.42578125" style="51"/>
    <col min="2817" max="2817" width="10.140625" style="51" customWidth="1"/>
    <col min="2818" max="2818" width="20" style="51" customWidth="1"/>
    <col min="2819" max="2819" width="2.85546875" style="51" customWidth="1"/>
    <col min="2820" max="2821" width="4.5703125" style="51" customWidth="1"/>
    <col min="2822" max="2822" width="5.5703125" style="51" customWidth="1"/>
    <col min="2823" max="2825" width="11" style="51" customWidth="1"/>
    <col min="2826" max="2826" width="15.28515625" style="51" customWidth="1"/>
    <col min="2827" max="2827" width="1" style="51" customWidth="1"/>
    <col min="2828" max="2828" width="20" style="51" customWidth="1"/>
    <col min="2829" max="2829" width="2.85546875" style="51" customWidth="1"/>
    <col min="2830" max="2830" width="5.5703125" style="51" customWidth="1"/>
    <col min="2831" max="2831" width="4.5703125" style="51" customWidth="1"/>
    <col min="2832" max="2832" width="5.5703125" style="51" customWidth="1"/>
    <col min="2833" max="2834" width="11" style="51" customWidth="1"/>
    <col min="2835" max="2835" width="11.28515625" style="51" customWidth="1"/>
    <col min="2836" max="2836" width="15.28515625" style="51" customWidth="1"/>
    <col min="2837" max="2837" width="0.42578125" style="51" customWidth="1"/>
    <col min="2838" max="2839" width="11.42578125" style="51"/>
    <col min="2840" max="2840" width="6.85546875" style="51" customWidth="1"/>
    <col min="2841" max="3072" width="11.42578125" style="51"/>
    <col min="3073" max="3073" width="10.140625" style="51" customWidth="1"/>
    <col min="3074" max="3074" width="20" style="51" customWidth="1"/>
    <col min="3075" max="3075" width="2.85546875" style="51" customWidth="1"/>
    <col min="3076" max="3077" width="4.5703125" style="51" customWidth="1"/>
    <col min="3078" max="3078" width="5.5703125" style="51" customWidth="1"/>
    <col min="3079" max="3081" width="11" style="51" customWidth="1"/>
    <col min="3082" max="3082" width="15.28515625" style="51" customWidth="1"/>
    <col min="3083" max="3083" width="1" style="51" customWidth="1"/>
    <col min="3084" max="3084" width="20" style="51" customWidth="1"/>
    <col min="3085" max="3085" width="2.85546875" style="51" customWidth="1"/>
    <col min="3086" max="3086" width="5.5703125" style="51" customWidth="1"/>
    <col min="3087" max="3087" width="4.5703125" style="51" customWidth="1"/>
    <col min="3088" max="3088" width="5.5703125" style="51" customWidth="1"/>
    <col min="3089" max="3090" width="11" style="51" customWidth="1"/>
    <col min="3091" max="3091" width="11.28515625" style="51" customWidth="1"/>
    <col min="3092" max="3092" width="15.28515625" style="51" customWidth="1"/>
    <col min="3093" max="3093" width="0.42578125" style="51" customWidth="1"/>
    <col min="3094" max="3095" width="11.42578125" style="51"/>
    <col min="3096" max="3096" width="6.85546875" style="51" customWidth="1"/>
    <col min="3097" max="3328" width="11.42578125" style="51"/>
    <col min="3329" max="3329" width="10.140625" style="51" customWidth="1"/>
    <col min="3330" max="3330" width="20" style="51" customWidth="1"/>
    <col min="3331" max="3331" width="2.85546875" style="51" customWidth="1"/>
    <col min="3332" max="3333" width="4.5703125" style="51" customWidth="1"/>
    <col min="3334" max="3334" width="5.5703125" style="51" customWidth="1"/>
    <col min="3335" max="3337" width="11" style="51" customWidth="1"/>
    <col min="3338" max="3338" width="15.28515625" style="51" customWidth="1"/>
    <col min="3339" max="3339" width="1" style="51" customWidth="1"/>
    <col min="3340" max="3340" width="20" style="51" customWidth="1"/>
    <col min="3341" max="3341" width="2.85546875" style="51" customWidth="1"/>
    <col min="3342" max="3342" width="5.5703125" style="51" customWidth="1"/>
    <col min="3343" max="3343" width="4.5703125" style="51" customWidth="1"/>
    <col min="3344" max="3344" width="5.5703125" style="51" customWidth="1"/>
    <col min="3345" max="3346" width="11" style="51" customWidth="1"/>
    <col min="3347" max="3347" width="11.28515625" style="51" customWidth="1"/>
    <col min="3348" max="3348" width="15.28515625" style="51" customWidth="1"/>
    <col min="3349" max="3349" width="0.42578125" style="51" customWidth="1"/>
    <col min="3350" max="3351" width="11.42578125" style="51"/>
    <col min="3352" max="3352" width="6.85546875" style="51" customWidth="1"/>
    <col min="3353" max="3584" width="11.42578125" style="51"/>
    <col min="3585" max="3585" width="10.140625" style="51" customWidth="1"/>
    <col min="3586" max="3586" width="20" style="51" customWidth="1"/>
    <col min="3587" max="3587" width="2.85546875" style="51" customWidth="1"/>
    <col min="3588" max="3589" width="4.5703125" style="51" customWidth="1"/>
    <col min="3590" max="3590" width="5.5703125" style="51" customWidth="1"/>
    <col min="3591" max="3593" width="11" style="51" customWidth="1"/>
    <col min="3594" max="3594" width="15.28515625" style="51" customWidth="1"/>
    <col min="3595" max="3595" width="1" style="51" customWidth="1"/>
    <col min="3596" max="3596" width="20" style="51" customWidth="1"/>
    <col min="3597" max="3597" width="2.85546875" style="51" customWidth="1"/>
    <col min="3598" max="3598" width="5.5703125" style="51" customWidth="1"/>
    <col min="3599" max="3599" width="4.5703125" style="51" customWidth="1"/>
    <col min="3600" max="3600" width="5.5703125" style="51" customWidth="1"/>
    <col min="3601" max="3602" width="11" style="51" customWidth="1"/>
    <col min="3603" max="3603" width="11.28515625" style="51" customWidth="1"/>
    <col min="3604" max="3604" width="15.28515625" style="51" customWidth="1"/>
    <col min="3605" max="3605" width="0.42578125" style="51" customWidth="1"/>
    <col min="3606" max="3607" width="11.42578125" style="51"/>
    <col min="3608" max="3608" width="6.85546875" style="51" customWidth="1"/>
    <col min="3609" max="3840" width="11.42578125" style="51"/>
    <col min="3841" max="3841" width="10.140625" style="51" customWidth="1"/>
    <col min="3842" max="3842" width="20" style="51" customWidth="1"/>
    <col min="3843" max="3843" width="2.85546875" style="51" customWidth="1"/>
    <col min="3844" max="3845" width="4.5703125" style="51" customWidth="1"/>
    <col min="3846" max="3846" width="5.5703125" style="51" customWidth="1"/>
    <col min="3847" max="3849" width="11" style="51" customWidth="1"/>
    <col min="3850" max="3850" width="15.28515625" style="51" customWidth="1"/>
    <col min="3851" max="3851" width="1" style="51" customWidth="1"/>
    <col min="3852" max="3852" width="20" style="51" customWidth="1"/>
    <col min="3853" max="3853" width="2.85546875" style="51" customWidth="1"/>
    <col min="3854" max="3854" width="5.5703125" style="51" customWidth="1"/>
    <col min="3855" max="3855" width="4.5703125" style="51" customWidth="1"/>
    <col min="3856" max="3856" width="5.5703125" style="51" customWidth="1"/>
    <col min="3857" max="3858" width="11" style="51" customWidth="1"/>
    <col min="3859" max="3859" width="11.28515625" style="51" customWidth="1"/>
    <col min="3860" max="3860" width="15.28515625" style="51" customWidth="1"/>
    <col min="3861" max="3861" width="0.42578125" style="51" customWidth="1"/>
    <col min="3862" max="3863" width="11.42578125" style="51"/>
    <col min="3864" max="3864" width="6.85546875" style="51" customWidth="1"/>
    <col min="3865" max="4096" width="11.42578125" style="51"/>
    <col min="4097" max="4097" width="10.140625" style="51" customWidth="1"/>
    <col min="4098" max="4098" width="20" style="51" customWidth="1"/>
    <col min="4099" max="4099" width="2.85546875" style="51" customWidth="1"/>
    <col min="4100" max="4101" width="4.5703125" style="51" customWidth="1"/>
    <col min="4102" max="4102" width="5.5703125" style="51" customWidth="1"/>
    <col min="4103" max="4105" width="11" style="51" customWidth="1"/>
    <col min="4106" max="4106" width="15.28515625" style="51" customWidth="1"/>
    <col min="4107" max="4107" width="1" style="51" customWidth="1"/>
    <col min="4108" max="4108" width="20" style="51" customWidth="1"/>
    <col min="4109" max="4109" width="2.85546875" style="51" customWidth="1"/>
    <col min="4110" max="4110" width="5.5703125" style="51" customWidth="1"/>
    <col min="4111" max="4111" width="4.5703125" style="51" customWidth="1"/>
    <col min="4112" max="4112" width="5.5703125" style="51" customWidth="1"/>
    <col min="4113" max="4114" width="11" style="51" customWidth="1"/>
    <col min="4115" max="4115" width="11.28515625" style="51" customWidth="1"/>
    <col min="4116" max="4116" width="15.28515625" style="51" customWidth="1"/>
    <col min="4117" max="4117" width="0.42578125" style="51" customWidth="1"/>
    <col min="4118" max="4119" width="11.42578125" style="51"/>
    <col min="4120" max="4120" width="6.85546875" style="51" customWidth="1"/>
    <col min="4121" max="4352" width="11.42578125" style="51"/>
    <col min="4353" max="4353" width="10.140625" style="51" customWidth="1"/>
    <col min="4354" max="4354" width="20" style="51" customWidth="1"/>
    <col min="4355" max="4355" width="2.85546875" style="51" customWidth="1"/>
    <col min="4356" max="4357" width="4.5703125" style="51" customWidth="1"/>
    <col min="4358" max="4358" width="5.5703125" style="51" customWidth="1"/>
    <col min="4359" max="4361" width="11" style="51" customWidth="1"/>
    <col min="4362" max="4362" width="15.28515625" style="51" customWidth="1"/>
    <col min="4363" max="4363" width="1" style="51" customWidth="1"/>
    <col min="4364" max="4364" width="20" style="51" customWidth="1"/>
    <col min="4365" max="4365" width="2.85546875" style="51" customWidth="1"/>
    <col min="4366" max="4366" width="5.5703125" style="51" customWidth="1"/>
    <col min="4367" max="4367" width="4.5703125" style="51" customWidth="1"/>
    <col min="4368" max="4368" width="5.5703125" style="51" customWidth="1"/>
    <col min="4369" max="4370" width="11" style="51" customWidth="1"/>
    <col min="4371" max="4371" width="11.28515625" style="51" customWidth="1"/>
    <col min="4372" max="4372" width="15.28515625" style="51" customWidth="1"/>
    <col min="4373" max="4373" width="0.42578125" style="51" customWidth="1"/>
    <col min="4374" max="4375" width="11.42578125" style="51"/>
    <col min="4376" max="4376" width="6.85546875" style="51" customWidth="1"/>
    <col min="4377" max="4608" width="11.42578125" style="51"/>
    <col min="4609" max="4609" width="10.140625" style="51" customWidth="1"/>
    <col min="4610" max="4610" width="20" style="51" customWidth="1"/>
    <col min="4611" max="4611" width="2.85546875" style="51" customWidth="1"/>
    <col min="4612" max="4613" width="4.5703125" style="51" customWidth="1"/>
    <col min="4614" max="4614" width="5.5703125" style="51" customWidth="1"/>
    <col min="4615" max="4617" width="11" style="51" customWidth="1"/>
    <col min="4618" max="4618" width="15.28515625" style="51" customWidth="1"/>
    <col min="4619" max="4619" width="1" style="51" customWidth="1"/>
    <col min="4620" max="4620" width="20" style="51" customWidth="1"/>
    <col min="4621" max="4621" width="2.85546875" style="51" customWidth="1"/>
    <col min="4622" max="4622" width="5.5703125" style="51" customWidth="1"/>
    <col min="4623" max="4623" width="4.5703125" style="51" customWidth="1"/>
    <col min="4624" max="4624" width="5.5703125" style="51" customWidth="1"/>
    <col min="4625" max="4626" width="11" style="51" customWidth="1"/>
    <col min="4627" max="4627" width="11.28515625" style="51" customWidth="1"/>
    <col min="4628" max="4628" width="15.28515625" style="51" customWidth="1"/>
    <col min="4629" max="4629" width="0.42578125" style="51" customWidth="1"/>
    <col min="4630" max="4631" width="11.42578125" style="51"/>
    <col min="4632" max="4632" width="6.85546875" style="51" customWidth="1"/>
    <col min="4633" max="4864" width="11.42578125" style="51"/>
    <col min="4865" max="4865" width="10.140625" style="51" customWidth="1"/>
    <col min="4866" max="4866" width="20" style="51" customWidth="1"/>
    <col min="4867" max="4867" width="2.85546875" style="51" customWidth="1"/>
    <col min="4868" max="4869" width="4.5703125" style="51" customWidth="1"/>
    <col min="4870" max="4870" width="5.5703125" style="51" customWidth="1"/>
    <col min="4871" max="4873" width="11" style="51" customWidth="1"/>
    <col min="4874" max="4874" width="15.28515625" style="51" customWidth="1"/>
    <col min="4875" max="4875" width="1" style="51" customWidth="1"/>
    <col min="4876" max="4876" width="20" style="51" customWidth="1"/>
    <col min="4877" max="4877" width="2.85546875" style="51" customWidth="1"/>
    <col min="4878" max="4878" width="5.5703125" style="51" customWidth="1"/>
    <col min="4879" max="4879" width="4.5703125" style="51" customWidth="1"/>
    <col min="4880" max="4880" width="5.5703125" style="51" customWidth="1"/>
    <col min="4881" max="4882" width="11" style="51" customWidth="1"/>
    <col min="4883" max="4883" width="11.28515625" style="51" customWidth="1"/>
    <col min="4884" max="4884" width="15.28515625" style="51" customWidth="1"/>
    <col min="4885" max="4885" width="0.42578125" style="51" customWidth="1"/>
    <col min="4886" max="4887" width="11.42578125" style="51"/>
    <col min="4888" max="4888" width="6.85546875" style="51" customWidth="1"/>
    <col min="4889" max="5120" width="11.42578125" style="51"/>
    <col min="5121" max="5121" width="10.140625" style="51" customWidth="1"/>
    <col min="5122" max="5122" width="20" style="51" customWidth="1"/>
    <col min="5123" max="5123" width="2.85546875" style="51" customWidth="1"/>
    <col min="5124" max="5125" width="4.5703125" style="51" customWidth="1"/>
    <col min="5126" max="5126" width="5.5703125" style="51" customWidth="1"/>
    <col min="5127" max="5129" width="11" style="51" customWidth="1"/>
    <col min="5130" max="5130" width="15.28515625" style="51" customWidth="1"/>
    <col min="5131" max="5131" width="1" style="51" customWidth="1"/>
    <col min="5132" max="5132" width="20" style="51" customWidth="1"/>
    <col min="5133" max="5133" width="2.85546875" style="51" customWidth="1"/>
    <col min="5134" max="5134" width="5.5703125" style="51" customWidth="1"/>
    <col min="5135" max="5135" width="4.5703125" style="51" customWidth="1"/>
    <col min="5136" max="5136" width="5.5703125" style="51" customWidth="1"/>
    <col min="5137" max="5138" width="11" style="51" customWidth="1"/>
    <col min="5139" max="5139" width="11.28515625" style="51" customWidth="1"/>
    <col min="5140" max="5140" width="15.28515625" style="51" customWidth="1"/>
    <col min="5141" max="5141" width="0.42578125" style="51" customWidth="1"/>
    <col min="5142" max="5143" width="11.42578125" style="51"/>
    <col min="5144" max="5144" width="6.85546875" style="51" customWidth="1"/>
    <col min="5145" max="5376" width="11.42578125" style="51"/>
    <col min="5377" max="5377" width="10.140625" style="51" customWidth="1"/>
    <col min="5378" max="5378" width="20" style="51" customWidth="1"/>
    <col min="5379" max="5379" width="2.85546875" style="51" customWidth="1"/>
    <col min="5380" max="5381" width="4.5703125" style="51" customWidth="1"/>
    <col min="5382" max="5382" width="5.5703125" style="51" customWidth="1"/>
    <col min="5383" max="5385" width="11" style="51" customWidth="1"/>
    <col min="5386" max="5386" width="15.28515625" style="51" customWidth="1"/>
    <col min="5387" max="5387" width="1" style="51" customWidth="1"/>
    <col min="5388" max="5388" width="20" style="51" customWidth="1"/>
    <col min="5389" max="5389" width="2.85546875" style="51" customWidth="1"/>
    <col min="5390" max="5390" width="5.5703125" style="51" customWidth="1"/>
    <col min="5391" max="5391" width="4.5703125" style="51" customWidth="1"/>
    <col min="5392" max="5392" width="5.5703125" style="51" customWidth="1"/>
    <col min="5393" max="5394" width="11" style="51" customWidth="1"/>
    <col min="5395" max="5395" width="11.28515625" style="51" customWidth="1"/>
    <col min="5396" max="5396" width="15.28515625" style="51" customWidth="1"/>
    <col min="5397" max="5397" width="0.42578125" style="51" customWidth="1"/>
    <col min="5398" max="5399" width="11.42578125" style="51"/>
    <col min="5400" max="5400" width="6.85546875" style="51" customWidth="1"/>
    <col min="5401" max="5632" width="11.42578125" style="51"/>
    <col min="5633" max="5633" width="10.140625" style="51" customWidth="1"/>
    <col min="5634" max="5634" width="20" style="51" customWidth="1"/>
    <col min="5635" max="5635" width="2.85546875" style="51" customWidth="1"/>
    <col min="5636" max="5637" width="4.5703125" style="51" customWidth="1"/>
    <col min="5638" max="5638" width="5.5703125" style="51" customWidth="1"/>
    <col min="5639" max="5641" width="11" style="51" customWidth="1"/>
    <col min="5642" max="5642" width="15.28515625" style="51" customWidth="1"/>
    <col min="5643" max="5643" width="1" style="51" customWidth="1"/>
    <col min="5644" max="5644" width="20" style="51" customWidth="1"/>
    <col min="5645" max="5645" width="2.85546875" style="51" customWidth="1"/>
    <col min="5646" max="5646" width="5.5703125" style="51" customWidth="1"/>
    <col min="5647" max="5647" width="4.5703125" style="51" customWidth="1"/>
    <col min="5648" max="5648" width="5.5703125" style="51" customWidth="1"/>
    <col min="5649" max="5650" width="11" style="51" customWidth="1"/>
    <col min="5651" max="5651" width="11.28515625" style="51" customWidth="1"/>
    <col min="5652" max="5652" width="15.28515625" style="51" customWidth="1"/>
    <col min="5653" max="5653" width="0.42578125" style="51" customWidth="1"/>
    <col min="5654" max="5655" width="11.42578125" style="51"/>
    <col min="5656" max="5656" width="6.85546875" style="51" customWidth="1"/>
    <col min="5657" max="5888" width="11.42578125" style="51"/>
    <col min="5889" max="5889" width="10.140625" style="51" customWidth="1"/>
    <col min="5890" max="5890" width="20" style="51" customWidth="1"/>
    <col min="5891" max="5891" width="2.85546875" style="51" customWidth="1"/>
    <col min="5892" max="5893" width="4.5703125" style="51" customWidth="1"/>
    <col min="5894" max="5894" width="5.5703125" style="51" customWidth="1"/>
    <col min="5895" max="5897" width="11" style="51" customWidth="1"/>
    <col min="5898" max="5898" width="15.28515625" style="51" customWidth="1"/>
    <col min="5899" max="5899" width="1" style="51" customWidth="1"/>
    <col min="5900" max="5900" width="20" style="51" customWidth="1"/>
    <col min="5901" max="5901" width="2.85546875" style="51" customWidth="1"/>
    <col min="5902" max="5902" width="5.5703125" style="51" customWidth="1"/>
    <col min="5903" max="5903" width="4.5703125" style="51" customWidth="1"/>
    <col min="5904" max="5904" width="5.5703125" style="51" customWidth="1"/>
    <col min="5905" max="5906" width="11" style="51" customWidth="1"/>
    <col min="5907" max="5907" width="11.28515625" style="51" customWidth="1"/>
    <col min="5908" max="5908" width="15.28515625" style="51" customWidth="1"/>
    <col min="5909" max="5909" width="0.42578125" style="51" customWidth="1"/>
    <col min="5910" max="5911" width="11.42578125" style="51"/>
    <col min="5912" max="5912" width="6.85546875" style="51" customWidth="1"/>
    <col min="5913" max="6144" width="11.42578125" style="51"/>
    <col min="6145" max="6145" width="10.140625" style="51" customWidth="1"/>
    <col min="6146" max="6146" width="20" style="51" customWidth="1"/>
    <col min="6147" max="6147" width="2.85546875" style="51" customWidth="1"/>
    <col min="6148" max="6149" width="4.5703125" style="51" customWidth="1"/>
    <col min="6150" max="6150" width="5.5703125" style="51" customWidth="1"/>
    <col min="6151" max="6153" width="11" style="51" customWidth="1"/>
    <col min="6154" max="6154" width="15.28515625" style="51" customWidth="1"/>
    <col min="6155" max="6155" width="1" style="51" customWidth="1"/>
    <col min="6156" max="6156" width="20" style="51" customWidth="1"/>
    <col min="6157" max="6157" width="2.85546875" style="51" customWidth="1"/>
    <col min="6158" max="6158" width="5.5703125" style="51" customWidth="1"/>
    <col min="6159" max="6159" width="4.5703125" style="51" customWidth="1"/>
    <col min="6160" max="6160" width="5.5703125" style="51" customWidth="1"/>
    <col min="6161" max="6162" width="11" style="51" customWidth="1"/>
    <col min="6163" max="6163" width="11.28515625" style="51" customWidth="1"/>
    <col min="6164" max="6164" width="15.28515625" style="51" customWidth="1"/>
    <col min="6165" max="6165" width="0.42578125" style="51" customWidth="1"/>
    <col min="6166" max="6167" width="11.42578125" style="51"/>
    <col min="6168" max="6168" width="6.85546875" style="51" customWidth="1"/>
    <col min="6169" max="6400" width="11.42578125" style="51"/>
    <col min="6401" max="6401" width="10.140625" style="51" customWidth="1"/>
    <col min="6402" max="6402" width="20" style="51" customWidth="1"/>
    <col min="6403" max="6403" width="2.85546875" style="51" customWidth="1"/>
    <col min="6404" max="6405" width="4.5703125" style="51" customWidth="1"/>
    <col min="6406" max="6406" width="5.5703125" style="51" customWidth="1"/>
    <col min="6407" max="6409" width="11" style="51" customWidth="1"/>
    <col min="6410" max="6410" width="15.28515625" style="51" customWidth="1"/>
    <col min="6411" max="6411" width="1" style="51" customWidth="1"/>
    <col min="6412" max="6412" width="20" style="51" customWidth="1"/>
    <col min="6413" max="6413" width="2.85546875" style="51" customWidth="1"/>
    <col min="6414" max="6414" width="5.5703125" style="51" customWidth="1"/>
    <col min="6415" max="6415" width="4.5703125" style="51" customWidth="1"/>
    <col min="6416" max="6416" width="5.5703125" style="51" customWidth="1"/>
    <col min="6417" max="6418" width="11" style="51" customWidth="1"/>
    <col min="6419" max="6419" width="11.28515625" style="51" customWidth="1"/>
    <col min="6420" max="6420" width="15.28515625" style="51" customWidth="1"/>
    <col min="6421" max="6421" width="0.42578125" style="51" customWidth="1"/>
    <col min="6422" max="6423" width="11.42578125" style="51"/>
    <col min="6424" max="6424" width="6.85546875" style="51" customWidth="1"/>
    <col min="6425" max="6656" width="11.42578125" style="51"/>
    <col min="6657" max="6657" width="10.140625" style="51" customWidth="1"/>
    <col min="6658" max="6658" width="20" style="51" customWidth="1"/>
    <col min="6659" max="6659" width="2.85546875" style="51" customWidth="1"/>
    <col min="6660" max="6661" width="4.5703125" style="51" customWidth="1"/>
    <col min="6662" max="6662" width="5.5703125" style="51" customWidth="1"/>
    <col min="6663" max="6665" width="11" style="51" customWidth="1"/>
    <col min="6666" max="6666" width="15.28515625" style="51" customWidth="1"/>
    <col min="6667" max="6667" width="1" style="51" customWidth="1"/>
    <col min="6668" max="6668" width="20" style="51" customWidth="1"/>
    <col min="6669" max="6669" width="2.85546875" style="51" customWidth="1"/>
    <col min="6670" max="6670" width="5.5703125" style="51" customWidth="1"/>
    <col min="6671" max="6671" width="4.5703125" style="51" customWidth="1"/>
    <col min="6672" max="6672" width="5.5703125" style="51" customWidth="1"/>
    <col min="6673" max="6674" width="11" style="51" customWidth="1"/>
    <col min="6675" max="6675" width="11.28515625" style="51" customWidth="1"/>
    <col min="6676" max="6676" width="15.28515625" style="51" customWidth="1"/>
    <col min="6677" max="6677" width="0.42578125" style="51" customWidth="1"/>
    <col min="6678" max="6679" width="11.42578125" style="51"/>
    <col min="6680" max="6680" width="6.85546875" style="51" customWidth="1"/>
    <col min="6681" max="6912" width="11.42578125" style="51"/>
    <col min="6913" max="6913" width="10.140625" style="51" customWidth="1"/>
    <col min="6914" max="6914" width="20" style="51" customWidth="1"/>
    <col min="6915" max="6915" width="2.85546875" style="51" customWidth="1"/>
    <col min="6916" max="6917" width="4.5703125" style="51" customWidth="1"/>
    <col min="6918" max="6918" width="5.5703125" style="51" customWidth="1"/>
    <col min="6919" max="6921" width="11" style="51" customWidth="1"/>
    <col min="6922" max="6922" width="15.28515625" style="51" customWidth="1"/>
    <col min="6923" max="6923" width="1" style="51" customWidth="1"/>
    <col min="6924" max="6924" width="20" style="51" customWidth="1"/>
    <col min="6925" max="6925" width="2.85546875" style="51" customWidth="1"/>
    <col min="6926" max="6926" width="5.5703125" style="51" customWidth="1"/>
    <col min="6927" max="6927" width="4.5703125" style="51" customWidth="1"/>
    <col min="6928" max="6928" width="5.5703125" style="51" customWidth="1"/>
    <col min="6929" max="6930" width="11" style="51" customWidth="1"/>
    <col min="6931" max="6931" width="11.28515625" style="51" customWidth="1"/>
    <col min="6932" max="6932" width="15.28515625" style="51" customWidth="1"/>
    <col min="6933" max="6933" width="0.42578125" style="51" customWidth="1"/>
    <col min="6934" max="6935" width="11.42578125" style="51"/>
    <col min="6936" max="6936" width="6.85546875" style="51" customWidth="1"/>
    <col min="6937" max="7168" width="11.42578125" style="51"/>
    <col min="7169" max="7169" width="10.140625" style="51" customWidth="1"/>
    <col min="7170" max="7170" width="20" style="51" customWidth="1"/>
    <col min="7171" max="7171" width="2.85546875" style="51" customWidth="1"/>
    <col min="7172" max="7173" width="4.5703125" style="51" customWidth="1"/>
    <col min="7174" max="7174" width="5.5703125" style="51" customWidth="1"/>
    <col min="7175" max="7177" width="11" style="51" customWidth="1"/>
    <col min="7178" max="7178" width="15.28515625" style="51" customWidth="1"/>
    <col min="7179" max="7179" width="1" style="51" customWidth="1"/>
    <col min="7180" max="7180" width="20" style="51" customWidth="1"/>
    <col min="7181" max="7181" width="2.85546875" style="51" customWidth="1"/>
    <col min="7182" max="7182" width="5.5703125" style="51" customWidth="1"/>
    <col min="7183" max="7183" width="4.5703125" style="51" customWidth="1"/>
    <col min="7184" max="7184" width="5.5703125" style="51" customWidth="1"/>
    <col min="7185" max="7186" width="11" style="51" customWidth="1"/>
    <col min="7187" max="7187" width="11.28515625" style="51" customWidth="1"/>
    <col min="7188" max="7188" width="15.28515625" style="51" customWidth="1"/>
    <col min="7189" max="7189" width="0.42578125" style="51" customWidth="1"/>
    <col min="7190" max="7191" width="11.42578125" style="51"/>
    <col min="7192" max="7192" width="6.85546875" style="51" customWidth="1"/>
    <col min="7193" max="7424" width="11.42578125" style="51"/>
    <col min="7425" max="7425" width="10.140625" style="51" customWidth="1"/>
    <col min="7426" max="7426" width="20" style="51" customWidth="1"/>
    <col min="7427" max="7427" width="2.85546875" style="51" customWidth="1"/>
    <col min="7428" max="7429" width="4.5703125" style="51" customWidth="1"/>
    <col min="7430" max="7430" width="5.5703125" style="51" customWidth="1"/>
    <col min="7431" max="7433" width="11" style="51" customWidth="1"/>
    <col min="7434" max="7434" width="15.28515625" style="51" customWidth="1"/>
    <col min="7435" max="7435" width="1" style="51" customWidth="1"/>
    <col min="7436" max="7436" width="20" style="51" customWidth="1"/>
    <col min="7437" max="7437" width="2.85546875" style="51" customWidth="1"/>
    <col min="7438" max="7438" width="5.5703125" style="51" customWidth="1"/>
    <col min="7439" max="7439" width="4.5703125" style="51" customWidth="1"/>
    <col min="7440" max="7440" width="5.5703125" style="51" customWidth="1"/>
    <col min="7441" max="7442" width="11" style="51" customWidth="1"/>
    <col min="7443" max="7443" width="11.28515625" style="51" customWidth="1"/>
    <col min="7444" max="7444" width="15.28515625" style="51" customWidth="1"/>
    <col min="7445" max="7445" width="0.42578125" style="51" customWidth="1"/>
    <col min="7446" max="7447" width="11.42578125" style="51"/>
    <col min="7448" max="7448" width="6.85546875" style="51" customWidth="1"/>
    <col min="7449" max="7680" width="11.42578125" style="51"/>
    <col min="7681" max="7681" width="10.140625" style="51" customWidth="1"/>
    <col min="7682" max="7682" width="20" style="51" customWidth="1"/>
    <col min="7683" max="7683" width="2.85546875" style="51" customWidth="1"/>
    <col min="7684" max="7685" width="4.5703125" style="51" customWidth="1"/>
    <col min="7686" max="7686" width="5.5703125" style="51" customWidth="1"/>
    <col min="7687" max="7689" width="11" style="51" customWidth="1"/>
    <col min="7690" max="7690" width="15.28515625" style="51" customWidth="1"/>
    <col min="7691" max="7691" width="1" style="51" customWidth="1"/>
    <col min="7692" max="7692" width="20" style="51" customWidth="1"/>
    <col min="7693" max="7693" width="2.85546875" style="51" customWidth="1"/>
    <col min="7694" max="7694" width="5.5703125" style="51" customWidth="1"/>
    <col min="7695" max="7695" width="4.5703125" style="51" customWidth="1"/>
    <col min="7696" max="7696" width="5.5703125" style="51" customWidth="1"/>
    <col min="7697" max="7698" width="11" style="51" customWidth="1"/>
    <col min="7699" max="7699" width="11.28515625" style="51" customWidth="1"/>
    <col min="7700" max="7700" width="15.28515625" style="51" customWidth="1"/>
    <col min="7701" max="7701" width="0.42578125" style="51" customWidth="1"/>
    <col min="7702" max="7703" width="11.42578125" style="51"/>
    <col min="7704" max="7704" width="6.85546875" style="51" customWidth="1"/>
    <col min="7705" max="7936" width="11.42578125" style="51"/>
    <col min="7937" max="7937" width="10.140625" style="51" customWidth="1"/>
    <col min="7938" max="7938" width="20" style="51" customWidth="1"/>
    <col min="7939" max="7939" width="2.85546875" style="51" customWidth="1"/>
    <col min="7940" max="7941" width="4.5703125" style="51" customWidth="1"/>
    <col min="7942" max="7942" width="5.5703125" style="51" customWidth="1"/>
    <col min="7943" max="7945" width="11" style="51" customWidth="1"/>
    <col min="7946" max="7946" width="15.28515625" style="51" customWidth="1"/>
    <col min="7947" max="7947" width="1" style="51" customWidth="1"/>
    <col min="7948" max="7948" width="20" style="51" customWidth="1"/>
    <col min="7949" max="7949" width="2.85546875" style="51" customWidth="1"/>
    <col min="7950" max="7950" width="5.5703125" style="51" customWidth="1"/>
    <col min="7951" max="7951" width="4.5703125" style="51" customWidth="1"/>
    <col min="7952" max="7952" width="5.5703125" style="51" customWidth="1"/>
    <col min="7953" max="7954" width="11" style="51" customWidth="1"/>
    <col min="7955" max="7955" width="11.28515625" style="51" customWidth="1"/>
    <col min="7956" max="7956" width="15.28515625" style="51" customWidth="1"/>
    <col min="7957" max="7957" width="0.42578125" style="51" customWidth="1"/>
    <col min="7958" max="7959" width="11.42578125" style="51"/>
    <col min="7960" max="7960" width="6.85546875" style="51" customWidth="1"/>
    <col min="7961" max="8192" width="11.42578125" style="51"/>
    <col min="8193" max="8193" width="10.140625" style="51" customWidth="1"/>
    <col min="8194" max="8194" width="20" style="51" customWidth="1"/>
    <col min="8195" max="8195" width="2.85546875" style="51" customWidth="1"/>
    <col min="8196" max="8197" width="4.5703125" style="51" customWidth="1"/>
    <col min="8198" max="8198" width="5.5703125" style="51" customWidth="1"/>
    <col min="8199" max="8201" width="11" style="51" customWidth="1"/>
    <col min="8202" max="8202" width="15.28515625" style="51" customWidth="1"/>
    <col min="8203" max="8203" width="1" style="51" customWidth="1"/>
    <col min="8204" max="8204" width="20" style="51" customWidth="1"/>
    <col min="8205" max="8205" width="2.85546875" style="51" customWidth="1"/>
    <col min="8206" max="8206" width="5.5703125" style="51" customWidth="1"/>
    <col min="8207" max="8207" width="4.5703125" style="51" customWidth="1"/>
    <col min="8208" max="8208" width="5.5703125" style="51" customWidth="1"/>
    <col min="8209" max="8210" width="11" style="51" customWidth="1"/>
    <col min="8211" max="8211" width="11.28515625" style="51" customWidth="1"/>
    <col min="8212" max="8212" width="15.28515625" style="51" customWidth="1"/>
    <col min="8213" max="8213" width="0.42578125" style="51" customWidth="1"/>
    <col min="8214" max="8215" width="11.42578125" style="51"/>
    <col min="8216" max="8216" width="6.85546875" style="51" customWidth="1"/>
    <col min="8217" max="8448" width="11.42578125" style="51"/>
    <col min="8449" max="8449" width="10.140625" style="51" customWidth="1"/>
    <col min="8450" max="8450" width="20" style="51" customWidth="1"/>
    <col min="8451" max="8451" width="2.85546875" style="51" customWidth="1"/>
    <col min="8452" max="8453" width="4.5703125" style="51" customWidth="1"/>
    <col min="8454" max="8454" width="5.5703125" style="51" customWidth="1"/>
    <col min="8455" max="8457" width="11" style="51" customWidth="1"/>
    <col min="8458" max="8458" width="15.28515625" style="51" customWidth="1"/>
    <col min="8459" max="8459" width="1" style="51" customWidth="1"/>
    <col min="8460" max="8460" width="20" style="51" customWidth="1"/>
    <col min="8461" max="8461" width="2.85546875" style="51" customWidth="1"/>
    <col min="8462" max="8462" width="5.5703125" style="51" customWidth="1"/>
    <col min="8463" max="8463" width="4.5703125" style="51" customWidth="1"/>
    <col min="8464" max="8464" width="5.5703125" style="51" customWidth="1"/>
    <col min="8465" max="8466" width="11" style="51" customWidth="1"/>
    <col min="8467" max="8467" width="11.28515625" style="51" customWidth="1"/>
    <col min="8468" max="8468" width="15.28515625" style="51" customWidth="1"/>
    <col min="8469" max="8469" width="0.42578125" style="51" customWidth="1"/>
    <col min="8470" max="8471" width="11.42578125" style="51"/>
    <col min="8472" max="8472" width="6.85546875" style="51" customWidth="1"/>
    <col min="8473" max="8704" width="11.42578125" style="51"/>
    <col min="8705" max="8705" width="10.140625" style="51" customWidth="1"/>
    <col min="8706" max="8706" width="20" style="51" customWidth="1"/>
    <col min="8707" max="8707" width="2.85546875" style="51" customWidth="1"/>
    <col min="8708" max="8709" width="4.5703125" style="51" customWidth="1"/>
    <col min="8710" max="8710" width="5.5703125" style="51" customWidth="1"/>
    <col min="8711" max="8713" width="11" style="51" customWidth="1"/>
    <col min="8714" max="8714" width="15.28515625" style="51" customWidth="1"/>
    <col min="8715" max="8715" width="1" style="51" customWidth="1"/>
    <col min="8716" max="8716" width="20" style="51" customWidth="1"/>
    <col min="8717" max="8717" width="2.85546875" style="51" customWidth="1"/>
    <col min="8718" max="8718" width="5.5703125" style="51" customWidth="1"/>
    <col min="8719" max="8719" width="4.5703125" style="51" customWidth="1"/>
    <col min="8720" max="8720" width="5.5703125" style="51" customWidth="1"/>
    <col min="8721" max="8722" width="11" style="51" customWidth="1"/>
    <col min="8723" max="8723" width="11.28515625" style="51" customWidth="1"/>
    <col min="8724" max="8724" width="15.28515625" style="51" customWidth="1"/>
    <col min="8725" max="8725" width="0.42578125" style="51" customWidth="1"/>
    <col min="8726" max="8727" width="11.42578125" style="51"/>
    <col min="8728" max="8728" width="6.85546875" style="51" customWidth="1"/>
    <col min="8729" max="8960" width="11.42578125" style="51"/>
    <col min="8961" max="8961" width="10.140625" style="51" customWidth="1"/>
    <col min="8962" max="8962" width="20" style="51" customWidth="1"/>
    <col min="8963" max="8963" width="2.85546875" style="51" customWidth="1"/>
    <col min="8964" max="8965" width="4.5703125" style="51" customWidth="1"/>
    <col min="8966" max="8966" width="5.5703125" style="51" customWidth="1"/>
    <col min="8967" max="8969" width="11" style="51" customWidth="1"/>
    <col min="8970" max="8970" width="15.28515625" style="51" customWidth="1"/>
    <col min="8971" max="8971" width="1" style="51" customWidth="1"/>
    <col min="8972" max="8972" width="20" style="51" customWidth="1"/>
    <col min="8973" max="8973" width="2.85546875" style="51" customWidth="1"/>
    <col min="8974" max="8974" width="5.5703125" style="51" customWidth="1"/>
    <col min="8975" max="8975" width="4.5703125" style="51" customWidth="1"/>
    <col min="8976" max="8976" width="5.5703125" style="51" customWidth="1"/>
    <col min="8977" max="8978" width="11" style="51" customWidth="1"/>
    <col min="8979" max="8979" width="11.28515625" style="51" customWidth="1"/>
    <col min="8980" max="8980" width="15.28515625" style="51" customWidth="1"/>
    <col min="8981" max="8981" width="0.42578125" style="51" customWidth="1"/>
    <col min="8982" max="8983" width="11.42578125" style="51"/>
    <col min="8984" max="8984" width="6.85546875" style="51" customWidth="1"/>
    <col min="8985" max="9216" width="11.42578125" style="51"/>
    <col min="9217" max="9217" width="10.140625" style="51" customWidth="1"/>
    <col min="9218" max="9218" width="20" style="51" customWidth="1"/>
    <col min="9219" max="9219" width="2.85546875" style="51" customWidth="1"/>
    <col min="9220" max="9221" width="4.5703125" style="51" customWidth="1"/>
    <col min="9222" max="9222" width="5.5703125" style="51" customWidth="1"/>
    <col min="9223" max="9225" width="11" style="51" customWidth="1"/>
    <col min="9226" max="9226" width="15.28515625" style="51" customWidth="1"/>
    <col min="9227" max="9227" width="1" style="51" customWidth="1"/>
    <col min="9228" max="9228" width="20" style="51" customWidth="1"/>
    <col min="9229" max="9229" width="2.85546875" style="51" customWidth="1"/>
    <col min="9230" max="9230" width="5.5703125" style="51" customWidth="1"/>
    <col min="9231" max="9231" width="4.5703125" style="51" customWidth="1"/>
    <col min="9232" max="9232" width="5.5703125" style="51" customWidth="1"/>
    <col min="9233" max="9234" width="11" style="51" customWidth="1"/>
    <col min="9235" max="9235" width="11.28515625" style="51" customWidth="1"/>
    <col min="9236" max="9236" width="15.28515625" style="51" customWidth="1"/>
    <col min="9237" max="9237" width="0.42578125" style="51" customWidth="1"/>
    <col min="9238" max="9239" width="11.42578125" style="51"/>
    <col min="9240" max="9240" width="6.85546875" style="51" customWidth="1"/>
    <col min="9241" max="9472" width="11.42578125" style="51"/>
    <col min="9473" max="9473" width="10.140625" style="51" customWidth="1"/>
    <col min="9474" max="9474" width="20" style="51" customWidth="1"/>
    <col min="9475" max="9475" width="2.85546875" style="51" customWidth="1"/>
    <col min="9476" max="9477" width="4.5703125" style="51" customWidth="1"/>
    <col min="9478" max="9478" width="5.5703125" style="51" customWidth="1"/>
    <col min="9479" max="9481" width="11" style="51" customWidth="1"/>
    <col min="9482" max="9482" width="15.28515625" style="51" customWidth="1"/>
    <col min="9483" max="9483" width="1" style="51" customWidth="1"/>
    <col min="9484" max="9484" width="20" style="51" customWidth="1"/>
    <col min="9485" max="9485" width="2.85546875" style="51" customWidth="1"/>
    <col min="9486" max="9486" width="5.5703125" style="51" customWidth="1"/>
    <col min="9487" max="9487" width="4.5703125" style="51" customWidth="1"/>
    <col min="9488" max="9488" width="5.5703125" style="51" customWidth="1"/>
    <col min="9489" max="9490" width="11" style="51" customWidth="1"/>
    <col min="9491" max="9491" width="11.28515625" style="51" customWidth="1"/>
    <col min="9492" max="9492" width="15.28515625" style="51" customWidth="1"/>
    <col min="9493" max="9493" width="0.42578125" style="51" customWidth="1"/>
    <col min="9494" max="9495" width="11.42578125" style="51"/>
    <col min="9496" max="9496" width="6.85546875" style="51" customWidth="1"/>
    <col min="9497" max="9728" width="11.42578125" style="51"/>
    <col min="9729" max="9729" width="10.140625" style="51" customWidth="1"/>
    <col min="9730" max="9730" width="20" style="51" customWidth="1"/>
    <col min="9731" max="9731" width="2.85546875" style="51" customWidth="1"/>
    <col min="9732" max="9733" width="4.5703125" style="51" customWidth="1"/>
    <col min="9734" max="9734" width="5.5703125" style="51" customWidth="1"/>
    <col min="9735" max="9737" width="11" style="51" customWidth="1"/>
    <col min="9738" max="9738" width="15.28515625" style="51" customWidth="1"/>
    <col min="9739" max="9739" width="1" style="51" customWidth="1"/>
    <col min="9740" max="9740" width="20" style="51" customWidth="1"/>
    <col min="9741" max="9741" width="2.85546875" style="51" customWidth="1"/>
    <col min="9742" max="9742" width="5.5703125" style="51" customWidth="1"/>
    <col min="9743" max="9743" width="4.5703125" style="51" customWidth="1"/>
    <col min="9744" max="9744" width="5.5703125" style="51" customWidth="1"/>
    <col min="9745" max="9746" width="11" style="51" customWidth="1"/>
    <col min="9747" max="9747" width="11.28515625" style="51" customWidth="1"/>
    <col min="9748" max="9748" width="15.28515625" style="51" customWidth="1"/>
    <col min="9749" max="9749" width="0.42578125" style="51" customWidth="1"/>
    <col min="9750" max="9751" width="11.42578125" style="51"/>
    <col min="9752" max="9752" width="6.85546875" style="51" customWidth="1"/>
    <col min="9753" max="9984" width="11.42578125" style="51"/>
    <col min="9985" max="9985" width="10.140625" style="51" customWidth="1"/>
    <col min="9986" max="9986" width="20" style="51" customWidth="1"/>
    <col min="9987" max="9987" width="2.85546875" style="51" customWidth="1"/>
    <col min="9988" max="9989" width="4.5703125" style="51" customWidth="1"/>
    <col min="9990" max="9990" width="5.5703125" style="51" customWidth="1"/>
    <col min="9991" max="9993" width="11" style="51" customWidth="1"/>
    <col min="9994" max="9994" width="15.28515625" style="51" customWidth="1"/>
    <col min="9995" max="9995" width="1" style="51" customWidth="1"/>
    <col min="9996" max="9996" width="20" style="51" customWidth="1"/>
    <col min="9997" max="9997" width="2.85546875" style="51" customWidth="1"/>
    <col min="9998" max="9998" width="5.5703125" style="51" customWidth="1"/>
    <col min="9999" max="9999" width="4.5703125" style="51" customWidth="1"/>
    <col min="10000" max="10000" width="5.5703125" style="51" customWidth="1"/>
    <col min="10001" max="10002" width="11" style="51" customWidth="1"/>
    <col min="10003" max="10003" width="11.28515625" style="51" customWidth="1"/>
    <col min="10004" max="10004" width="15.28515625" style="51" customWidth="1"/>
    <col min="10005" max="10005" width="0.42578125" style="51" customWidth="1"/>
    <col min="10006" max="10007" width="11.42578125" style="51"/>
    <col min="10008" max="10008" width="6.85546875" style="51" customWidth="1"/>
    <col min="10009" max="10240" width="11.42578125" style="51"/>
    <col min="10241" max="10241" width="10.140625" style="51" customWidth="1"/>
    <col min="10242" max="10242" width="20" style="51" customWidth="1"/>
    <col min="10243" max="10243" width="2.85546875" style="51" customWidth="1"/>
    <col min="10244" max="10245" width="4.5703125" style="51" customWidth="1"/>
    <col min="10246" max="10246" width="5.5703125" style="51" customWidth="1"/>
    <col min="10247" max="10249" width="11" style="51" customWidth="1"/>
    <col min="10250" max="10250" width="15.28515625" style="51" customWidth="1"/>
    <col min="10251" max="10251" width="1" style="51" customWidth="1"/>
    <col min="10252" max="10252" width="20" style="51" customWidth="1"/>
    <col min="10253" max="10253" width="2.85546875" style="51" customWidth="1"/>
    <col min="10254" max="10254" width="5.5703125" style="51" customWidth="1"/>
    <col min="10255" max="10255" width="4.5703125" style="51" customWidth="1"/>
    <col min="10256" max="10256" width="5.5703125" style="51" customWidth="1"/>
    <col min="10257" max="10258" width="11" style="51" customWidth="1"/>
    <col min="10259" max="10259" width="11.28515625" style="51" customWidth="1"/>
    <col min="10260" max="10260" width="15.28515625" style="51" customWidth="1"/>
    <col min="10261" max="10261" width="0.42578125" style="51" customWidth="1"/>
    <col min="10262" max="10263" width="11.42578125" style="51"/>
    <col min="10264" max="10264" width="6.85546875" style="51" customWidth="1"/>
    <col min="10265" max="10496" width="11.42578125" style="51"/>
    <col min="10497" max="10497" width="10.140625" style="51" customWidth="1"/>
    <col min="10498" max="10498" width="20" style="51" customWidth="1"/>
    <col min="10499" max="10499" width="2.85546875" style="51" customWidth="1"/>
    <col min="10500" max="10501" width="4.5703125" style="51" customWidth="1"/>
    <col min="10502" max="10502" width="5.5703125" style="51" customWidth="1"/>
    <col min="10503" max="10505" width="11" style="51" customWidth="1"/>
    <col min="10506" max="10506" width="15.28515625" style="51" customWidth="1"/>
    <col min="10507" max="10507" width="1" style="51" customWidth="1"/>
    <col min="10508" max="10508" width="20" style="51" customWidth="1"/>
    <col min="10509" max="10509" width="2.85546875" style="51" customWidth="1"/>
    <col min="10510" max="10510" width="5.5703125" style="51" customWidth="1"/>
    <col min="10511" max="10511" width="4.5703125" style="51" customWidth="1"/>
    <col min="10512" max="10512" width="5.5703125" style="51" customWidth="1"/>
    <col min="10513" max="10514" width="11" style="51" customWidth="1"/>
    <col min="10515" max="10515" width="11.28515625" style="51" customWidth="1"/>
    <col min="10516" max="10516" width="15.28515625" style="51" customWidth="1"/>
    <col min="10517" max="10517" width="0.42578125" style="51" customWidth="1"/>
    <col min="10518" max="10519" width="11.42578125" style="51"/>
    <col min="10520" max="10520" width="6.85546875" style="51" customWidth="1"/>
    <col min="10521" max="10752" width="11.42578125" style="51"/>
    <col min="10753" max="10753" width="10.140625" style="51" customWidth="1"/>
    <col min="10754" max="10754" width="20" style="51" customWidth="1"/>
    <col min="10755" max="10755" width="2.85546875" style="51" customWidth="1"/>
    <col min="10756" max="10757" width="4.5703125" style="51" customWidth="1"/>
    <col min="10758" max="10758" width="5.5703125" style="51" customWidth="1"/>
    <col min="10759" max="10761" width="11" style="51" customWidth="1"/>
    <col min="10762" max="10762" width="15.28515625" style="51" customWidth="1"/>
    <col min="10763" max="10763" width="1" style="51" customWidth="1"/>
    <col min="10764" max="10764" width="20" style="51" customWidth="1"/>
    <col min="10765" max="10765" width="2.85546875" style="51" customWidth="1"/>
    <col min="10766" max="10766" width="5.5703125" style="51" customWidth="1"/>
    <col min="10767" max="10767" width="4.5703125" style="51" customWidth="1"/>
    <col min="10768" max="10768" width="5.5703125" style="51" customWidth="1"/>
    <col min="10769" max="10770" width="11" style="51" customWidth="1"/>
    <col min="10771" max="10771" width="11.28515625" style="51" customWidth="1"/>
    <col min="10772" max="10772" width="15.28515625" style="51" customWidth="1"/>
    <col min="10773" max="10773" width="0.42578125" style="51" customWidth="1"/>
    <col min="10774" max="10775" width="11.42578125" style="51"/>
    <col min="10776" max="10776" width="6.85546875" style="51" customWidth="1"/>
    <col min="10777" max="11008" width="11.42578125" style="51"/>
    <col min="11009" max="11009" width="10.140625" style="51" customWidth="1"/>
    <col min="11010" max="11010" width="20" style="51" customWidth="1"/>
    <col min="11011" max="11011" width="2.85546875" style="51" customWidth="1"/>
    <col min="11012" max="11013" width="4.5703125" style="51" customWidth="1"/>
    <col min="11014" max="11014" width="5.5703125" style="51" customWidth="1"/>
    <col min="11015" max="11017" width="11" style="51" customWidth="1"/>
    <col min="11018" max="11018" width="15.28515625" style="51" customWidth="1"/>
    <col min="11019" max="11019" width="1" style="51" customWidth="1"/>
    <col min="11020" max="11020" width="20" style="51" customWidth="1"/>
    <col min="11021" max="11021" width="2.85546875" style="51" customWidth="1"/>
    <col min="11022" max="11022" width="5.5703125" style="51" customWidth="1"/>
    <col min="11023" max="11023" width="4.5703125" style="51" customWidth="1"/>
    <col min="11024" max="11024" width="5.5703125" style="51" customWidth="1"/>
    <col min="11025" max="11026" width="11" style="51" customWidth="1"/>
    <col min="11027" max="11027" width="11.28515625" style="51" customWidth="1"/>
    <col min="11028" max="11028" width="15.28515625" style="51" customWidth="1"/>
    <col min="11029" max="11029" width="0.42578125" style="51" customWidth="1"/>
    <col min="11030" max="11031" width="11.42578125" style="51"/>
    <col min="11032" max="11032" width="6.85546875" style="51" customWidth="1"/>
    <col min="11033" max="11264" width="11.42578125" style="51"/>
    <col min="11265" max="11265" width="10.140625" style="51" customWidth="1"/>
    <col min="11266" max="11266" width="20" style="51" customWidth="1"/>
    <col min="11267" max="11267" width="2.85546875" style="51" customWidth="1"/>
    <col min="11268" max="11269" width="4.5703125" style="51" customWidth="1"/>
    <col min="11270" max="11270" width="5.5703125" style="51" customWidth="1"/>
    <col min="11271" max="11273" width="11" style="51" customWidth="1"/>
    <col min="11274" max="11274" width="15.28515625" style="51" customWidth="1"/>
    <col min="11275" max="11275" width="1" style="51" customWidth="1"/>
    <col min="11276" max="11276" width="20" style="51" customWidth="1"/>
    <col min="11277" max="11277" width="2.85546875" style="51" customWidth="1"/>
    <col min="11278" max="11278" width="5.5703125" style="51" customWidth="1"/>
    <col min="11279" max="11279" width="4.5703125" style="51" customWidth="1"/>
    <col min="11280" max="11280" width="5.5703125" style="51" customWidth="1"/>
    <col min="11281" max="11282" width="11" style="51" customWidth="1"/>
    <col min="11283" max="11283" width="11.28515625" style="51" customWidth="1"/>
    <col min="11284" max="11284" width="15.28515625" style="51" customWidth="1"/>
    <col min="11285" max="11285" width="0.42578125" style="51" customWidth="1"/>
    <col min="11286" max="11287" width="11.42578125" style="51"/>
    <col min="11288" max="11288" width="6.85546875" style="51" customWidth="1"/>
    <col min="11289" max="11520" width="11.42578125" style="51"/>
    <col min="11521" max="11521" width="10.140625" style="51" customWidth="1"/>
    <col min="11522" max="11522" width="20" style="51" customWidth="1"/>
    <col min="11523" max="11523" width="2.85546875" style="51" customWidth="1"/>
    <col min="11524" max="11525" width="4.5703125" style="51" customWidth="1"/>
    <col min="11526" max="11526" width="5.5703125" style="51" customWidth="1"/>
    <col min="11527" max="11529" width="11" style="51" customWidth="1"/>
    <col min="11530" max="11530" width="15.28515625" style="51" customWidth="1"/>
    <col min="11531" max="11531" width="1" style="51" customWidth="1"/>
    <col min="11532" max="11532" width="20" style="51" customWidth="1"/>
    <col min="11533" max="11533" width="2.85546875" style="51" customWidth="1"/>
    <col min="11534" max="11534" width="5.5703125" style="51" customWidth="1"/>
    <col min="11535" max="11535" width="4.5703125" style="51" customWidth="1"/>
    <col min="11536" max="11536" width="5.5703125" style="51" customWidth="1"/>
    <col min="11537" max="11538" width="11" style="51" customWidth="1"/>
    <col min="11539" max="11539" width="11.28515625" style="51" customWidth="1"/>
    <col min="11540" max="11540" width="15.28515625" style="51" customWidth="1"/>
    <col min="11541" max="11541" width="0.42578125" style="51" customWidth="1"/>
    <col min="11542" max="11543" width="11.42578125" style="51"/>
    <col min="11544" max="11544" width="6.85546875" style="51" customWidth="1"/>
    <col min="11545" max="11776" width="11.42578125" style="51"/>
    <col min="11777" max="11777" width="10.140625" style="51" customWidth="1"/>
    <col min="11778" max="11778" width="20" style="51" customWidth="1"/>
    <col min="11779" max="11779" width="2.85546875" style="51" customWidth="1"/>
    <col min="11780" max="11781" width="4.5703125" style="51" customWidth="1"/>
    <col min="11782" max="11782" width="5.5703125" style="51" customWidth="1"/>
    <col min="11783" max="11785" width="11" style="51" customWidth="1"/>
    <col min="11786" max="11786" width="15.28515625" style="51" customWidth="1"/>
    <col min="11787" max="11787" width="1" style="51" customWidth="1"/>
    <col min="11788" max="11788" width="20" style="51" customWidth="1"/>
    <col min="11789" max="11789" width="2.85546875" style="51" customWidth="1"/>
    <col min="11790" max="11790" width="5.5703125" style="51" customWidth="1"/>
    <col min="11791" max="11791" width="4.5703125" style="51" customWidth="1"/>
    <col min="11792" max="11792" width="5.5703125" style="51" customWidth="1"/>
    <col min="11793" max="11794" width="11" style="51" customWidth="1"/>
    <col min="11795" max="11795" width="11.28515625" style="51" customWidth="1"/>
    <col min="11796" max="11796" width="15.28515625" style="51" customWidth="1"/>
    <col min="11797" max="11797" width="0.42578125" style="51" customWidth="1"/>
    <col min="11798" max="11799" width="11.42578125" style="51"/>
    <col min="11800" max="11800" width="6.85546875" style="51" customWidth="1"/>
    <col min="11801" max="12032" width="11.42578125" style="51"/>
    <col min="12033" max="12033" width="10.140625" style="51" customWidth="1"/>
    <col min="12034" max="12034" width="20" style="51" customWidth="1"/>
    <col min="12035" max="12035" width="2.85546875" style="51" customWidth="1"/>
    <col min="12036" max="12037" width="4.5703125" style="51" customWidth="1"/>
    <col min="12038" max="12038" width="5.5703125" style="51" customWidth="1"/>
    <col min="12039" max="12041" width="11" style="51" customWidth="1"/>
    <col min="12042" max="12042" width="15.28515625" style="51" customWidth="1"/>
    <col min="12043" max="12043" width="1" style="51" customWidth="1"/>
    <col min="12044" max="12044" width="20" style="51" customWidth="1"/>
    <col min="12045" max="12045" width="2.85546875" style="51" customWidth="1"/>
    <col min="12046" max="12046" width="5.5703125" style="51" customWidth="1"/>
    <col min="12047" max="12047" width="4.5703125" style="51" customWidth="1"/>
    <col min="12048" max="12048" width="5.5703125" style="51" customWidth="1"/>
    <col min="12049" max="12050" width="11" style="51" customWidth="1"/>
    <col min="12051" max="12051" width="11.28515625" style="51" customWidth="1"/>
    <col min="12052" max="12052" width="15.28515625" style="51" customWidth="1"/>
    <col min="12053" max="12053" width="0.42578125" style="51" customWidth="1"/>
    <col min="12054" max="12055" width="11.42578125" style="51"/>
    <col min="12056" max="12056" width="6.85546875" style="51" customWidth="1"/>
    <col min="12057" max="12288" width="11.42578125" style="51"/>
    <col min="12289" max="12289" width="10.140625" style="51" customWidth="1"/>
    <col min="12290" max="12290" width="20" style="51" customWidth="1"/>
    <col min="12291" max="12291" width="2.85546875" style="51" customWidth="1"/>
    <col min="12292" max="12293" width="4.5703125" style="51" customWidth="1"/>
    <col min="12294" max="12294" width="5.5703125" style="51" customWidth="1"/>
    <col min="12295" max="12297" width="11" style="51" customWidth="1"/>
    <col min="12298" max="12298" width="15.28515625" style="51" customWidth="1"/>
    <col min="12299" max="12299" width="1" style="51" customWidth="1"/>
    <col min="12300" max="12300" width="20" style="51" customWidth="1"/>
    <col min="12301" max="12301" width="2.85546875" style="51" customWidth="1"/>
    <col min="12302" max="12302" width="5.5703125" style="51" customWidth="1"/>
    <col min="12303" max="12303" width="4.5703125" style="51" customWidth="1"/>
    <col min="12304" max="12304" width="5.5703125" style="51" customWidth="1"/>
    <col min="12305" max="12306" width="11" style="51" customWidth="1"/>
    <col min="12307" max="12307" width="11.28515625" style="51" customWidth="1"/>
    <col min="12308" max="12308" width="15.28515625" style="51" customWidth="1"/>
    <col min="12309" max="12309" width="0.42578125" style="51" customWidth="1"/>
    <col min="12310" max="12311" width="11.42578125" style="51"/>
    <col min="12312" max="12312" width="6.85546875" style="51" customWidth="1"/>
    <col min="12313" max="12544" width="11.42578125" style="51"/>
    <col min="12545" max="12545" width="10.140625" style="51" customWidth="1"/>
    <col min="12546" max="12546" width="20" style="51" customWidth="1"/>
    <col min="12547" max="12547" width="2.85546875" style="51" customWidth="1"/>
    <col min="12548" max="12549" width="4.5703125" style="51" customWidth="1"/>
    <col min="12550" max="12550" width="5.5703125" style="51" customWidth="1"/>
    <col min="12551" max="12553" width="11" style="51" customWidth="1"/>
    <col min="12554" max="12554" width="15.28515625" style="51" customWidth="1"/>
    <col min="12555" max="12555" width="1" style="51" customWidth="1"/>
    <col min="12556" max="12556" width="20" style="51" customWidth="1"/>
    <col min="12557" max="12557" width="2.85546875" style="51" customWidth="1"/>
    <col min="12558" max="12558" width="5.5703125" style="51" customWidth="1"/>
    <col min="12559" max="12559" width="4.5703125" style="51" customWidth="1"/>
    <col min="12560" max="12560" width="5.5703125" style="51" customWidth="1"/>
    <col min="12561" max="12562" width="11" style="51" customWidth="1"/>
    <col min="12563" max="12563" width="11.28515625" style="51" customWidth="1"/>
    <col min="12564" max="12564" width="15.28515625" style="51" customWidth="1"/>
    <col min="12565" max="12565" width="0.42578125" style="51" customWidth="1"/>
    <col min="12566" max="12567" width="11.42578125" style="51"/>
    <col min="12568" max="12568" width="6.85546875" style="51" customWidth="1"/>
    <col min="12569" max="12800" width="11.42578125" style="51"/>
    <col min="12801" max="12801" width="10.140625" style="51" customWidth="1"/>
    <col min="12802" max="12802" width="20" style="51" customWidth="1"/>
    <col min="12803" max="12803" width="2.85546875" style="51" customWidth="1"/>
    <col min="12804" max="12805" width="4.5703125" style="51" customWidth="1"/>
    <col min="12806" max="12806" width="5.5703125" style="51" customWidth="1"/>
    <col min="12807" max="12809" width="11" style="51" customWidth="1"/>
    <col min="12810" max="12810" width="15.28515625" style="51" customWidth="1"/>
    <col min="12811" max="12811" width="1" style="51" customWidth="1"/>
    <col min="12812" max="12812" width="20" style="51" customWidth="1"/>
    <col min="12813" max="12813" width="2.85546875" style="51" customWidth="1"/>
    <col min="12814" max="12814" width="5.5703125" style="51" customWidth="1"/>
    <col min="12815" max="12815" width="4.5703125" style="51" customWidth="1"/>
    <col min="12816" max="12816" width="5.5703125" style="51" customWidth="1"/>
    <col min="12817" max="12818" width="11" style="51" customWidth="1"/>
    <col min="12819" max="12819" width="11.28515625" style="51" customWidth="1"/>
    <col min="12820" max="12820" width="15.28515625" style="51" customWidth="1"/>
    <col min="12821" max="12821" width="0.42578125" style="51" customWidth="1"/>
    <col min="12822" max="12823" width="11.42578125" style="51"/>
    <col min="12824" max="12824" width="6.85546875" style="51" customWidth="1"/>
    <col min="12825" max="13056" width="11.42578125" style="51"/>
    <col min="13057" max="13057" width="10.140625" style="51" customWidth="1"/>
    <col min="13058" max="13058" width="20" style="51" customWidth="1"/>
    <col min="13059" max="13059" width="2.85546875" style="51" customWidth="1"/>
    <col min="13060" max="13061" width="4.5703125" style="51" customWidth="1"/>
    <col min="13062" max="13062" width="5.5703125" style="51" customWidth="1"/>
    <col min="13063" max="13065" width="11" style="51" customWidth="1"/>
    <col min="13066" max="13066" width="15.28515625" style="51" customWidth="1"/>
    <col min="13067" max="13067" width="1" style="51" customWidth="1"/>
    <col min="13068" max="13068" width="20" style="51" customWidth="1"/>
    <col min="13069" max="13069" width="2.85546875" style="51" customWidth="1"/>
    <col min="13070" max="13070" width="5.5703125" style="51" customWidth="1"/>
    <col min="13071" max="13071" width="4.5703125" style="51" customWidth="1"/>
    <col min="13072" max="13072" width="5.5703125" style="51" customWidth="1"/>
    <col min="13073" max="13074" width="11" style="51" customWidth="1"/>
    <col min="13075" max="13075" width="11.28515625" style="51" customWidth="1"/>
    <col min="13076" max="13076" width="15.28515625" style="51" customWidth="1"/>
    <col min="13077" max="13077" width="0.42578125" style="51" customWidth="1"/>
    <col min="13078" max="13079" width="11.42578125" style="51"/>
    <col min="13080" max="13080" width="6.85546875" style="51" customWidth="1"/>
    <col min="13081" max="13312" width="11.42578125" style="51"/>
    <col min="13313" max="13313" width="10.140625" style="51" customWidth="1"/>
    <col min="13314" max="13314" width="20" style="51" customWidth="1"/>
    <col min="13315" max="13315" width="2.85546875" style="51" customWidth="1"/>
    <col min="13316" max="13317" width="4.5703125" style="51" customWidth="1"/>
    <col min="13318" max="13318" width="5.5703125" style="51" customWidth="1"/>
    <col min="13319" max="13321" width="11" style="51" customWidth="1"/>
    <col min="13322" max="13322" width="15.28515625" style="51" customWidth="1"/>
    <col min="13323" max="13323" width="1" style="51" customWidth="1"/>
    <col min="13324" max="13324" width="20" style="51" customWidth="1"/>
    <col min="13325" max="13325" width="2.85546875" style="51" customWidth="1"/>
    <col min="13326" max="13326" width="5.5703125" style="51" customWidth="1"/>
    <col min="13327" max="13327" width="4.5703125" style="51" customWidth="1"/>
    <col min="13328" max="13328" width="5.5703125" style="51" customWidth="1"/>
    <col min="13329" max="13330" width="11" style="51" customWidth="1"/>
    <col min="13331" max="13331" width="11.28515625" style="51" customWidth="1"/>
    <col min="13332" max="13332" width="15.28515625" style="51" customWidth="1"/>
    <col min="13333" max="13333" width="0.42578125" style="51" customWidth="1"/>
    <col min="13334" max="13335" width="11.42578125" style="51"/>
    <col min="13336" max="13336" width="6.85546875" style="51" customWidth="1"/>
    <col min="13337" max="13568" width="11.42578125" style="51"/>
    <col min="13569" max="13569" width="10.140625" style="51" customWidth="1"/>
    <col min="13570" max="13570" width="20" style="51" customWidth="1"/>
    <col min="13571" max="13571" width="2.85546875" style="51" customWidth="1"/>
    <col min="13572" max="13573" width="4.5703125" style="51" customWidth="1"/>
    <col min="13574" max="13574" width="5.5703125" style="51" customWidth="1"/>
    <col min="13575" max="13577" width="11" style="51" customWidth="1"/>
    <col min="13578" max="13578" width="15.28515625" style="51" customWidth="1"/>
    <col min="13579" max="13579" width="1" style="51" customWidth="1"/>
    <col min="13580" max="13580" width="20" style="51" customWidth="1"/>
    <col min="13581" max="13581" width="2.85546875" style="51" customWidth="1"/>
    <col min="13582" max="13582" width="5.5703125" style="51" customWidth="1"/>
    <col min="13583" max="13583" width="4.5703125" style="51" customWidth="1"/>
    <col min="13584" max="13584" width="5.5703125" style="51" customWidth="1"/>
    <col min="13585" max="13586" width="11" style="51" customWidth="1"/>
    <col min="13587" max="13587" width="11.28515625" style="51" customWidth="1"/>
    <col min="13588" max="13588" width="15.28515625" style="51" customWidth="1"/>
    <col min="13589" max="13589" width="0.42578125" style="51" customWidth="1"/>
    <col min="13590" max="13591" width="11.42578125" style="51"/>
    <col min="13592" max="13592" width="6.85546875" style="51" customWidth="1"/>
    <col min="13593" max="13824" width="11.42578125" style="51"/>
    <col min="13825" max="13825" width="10.140625" style="51" customWidth="1"/>
    <col min="13826" max="13826" width="20" style="51" customWidth="1"/>
    <col min="13827" max="13827" width="2.85546875" style="51" customWidth="1"/>
    <col min="13828" max="13829" width="4.5703125" style="51" customWidth="1"/>
    <col min="13830" max="13830" width="5.5703125" style="51" customWidth="1"/>
    <col min="13831" max="13833" width="11" style="51" customWidth="1"/>
    <col min="13834" max="13834" width="15.28515625" style="51" customWidth="1"/>
    <col min="13835" max="13835" width="1" style="51" customWidth="1"/>
    <col min="13836" max="13836" width="20" style="51" customWidth="1"/>
    <col min="13837" max="13837" width="2.85546875" style="51" customWidth="1"/>
    <col min="13838" max="13838" width="5.5703125" style="51" customWidth="1"/>
    <col min="13839" max="13839" width="4.5703125" style="51" customWidth="1"/>
    <col min="13840" max="13840" width="5.5703125" style="51" customWidth="1"/>
    <col min="13841" max="13842" width="11" style="51" customWidth="1"/>
    <col min="13843" max="13843" width="11.28515625" style="51" customWidth="1"/>
    <col min="13844" max="13844" width="15.28515625" style="51" customWidth="1"/>
    <col min="13845" max="13845" width="0.42578125" style="51" customWidth="1"/>
    <col min="13846" max="13847" width="11.42578125" style="51"/>
    <col min="13848" max="13848" width="6.85546875" style="51" customWidth="1"/>
    <col min="13849" max="14080" width="11.42578125" style="51"/>
    <col min="14081" max="14081" width="10.140625" style="51" customWidth="1"/>
    <col min="14082" max="14082" width="20" style="51" customWidth="1"/>
    <col min="14083" max="14083" width="2.85546875" style="51" customWidth="1"/>
    <col min="14084" max="14085" width="4.5703125" style="51" customWidth="1"/>
    <col min="14086" max="14086" width="5.5703125" style="51" customWidth="1"/>
    <col min="14087" max="14089" width="11" style="51" customWidth="1"/>
    <col min="14090" max="14090" width="15.28515625" style="51" customWidth="1"/>
    <col min="14091" max="14091" width="1" style="51" customWidth="1"/>
    <col min="14092" max="14092" width="20" style="51" customWidth="1"/>
    <col min="14093" max="14093" width="2.85546875" style="51" customWidth="1"/>
    <col min="14094" max="14094" width="5.5703125" style="51" customWidth="1"/>
    <col min="14095" max="14095" width="4.5703125" style="51" customWidth="1"/>
    <col min="14096" max="14096" width="5.5703125" style="51" customWidth="1"/>
    <col min="14097" max="14098" width="11" style="51" customWidth="1"/>
    <col min="14099" max="14099" width="11.28515625" style="51" customWidth="1"/>
    <col min="14100" max="14100" width="15.28515625" style="51" customWidth="1"/>
    <col min="14101" max="14101" width="0.42578125" style="51" customWidth="1"/>
    <col min="14102" max="14103" width="11.42578125" style="51"/>
    <col min="14104" max="14104" width="6.85546875" style="51" customWidth="1"/>
    <col min="14105" max="14336" width="11.42578125" style="51"/>
    <col min="14337" max="14337" width="10.140625" style="51" customWidth="1"/>
    <col min="14338" max="14338" width="20" style="51" customWidth="1"/>
    <col min="14339" max="14339" width="2.85546875" style="51" customWidth="1"/>
    <col min="14340" max="14341" width="4.5703125" style="51" customWidth="1"/>
    <col min="14342" max="14342" width="5.5703125" style="51" customWidth="1"/>
    <col min="14343" max="14345" width="11" style="51" customWidth="1"/>
    <col min="14346" max="14346" width="15.28515625" style="51" customWidth="1"/>
    <col min="14347" max="14347" width="1" style="51" customWidth="1"/>
    <col min="14348" max="14348" width="20" style="51" customWidth="1"/>
    <col min="14349" max="14349" width="2.85546875" style="51" customWidth="1"/>
    <col min="14350" max="14350" width="5.5703125" style="51" customWidth="1"/>
    <col min="14351" max="14351" width="4.5703125" style="51" customWidth="1"/>
    <col min="14352" max="14352" width="5.5703125" style="51" customWidth="1"/>
    <col min="14353" max="14354" width="11" style="51" customWidth="1"/>
    <col min="14355" max="14355" width="11.28515625" style="51" customWidth="1"/>
    <col min="14356" max="14356" width="15.28515625" style="51" customWidth="1"/>
    <col min="14357" max="14357" width="0.42578125" style="51" customWidth="1"/>
    <col min="14358" max="14359" width="11.42578125" style="51"/>
    <col min="14360" max="14360" width="6.85546875" style="51" customWidth="1"/>
    <col min="14361" max="14592" width="11.42578125" style="51"/>
    <col min="14593" max="14593" width="10.140625" style="51" customWidth="1"/>
    <col min="14594" max="14594" width="20" style="51" customWidth="1"/>
    <col min="14595" max="14595" width="2.85546875" style="51" customWidth="1"/>
    <col min="14596" max="14597" width="4.5703125" style="51" customWidth="1"/>
    <col min="14598" max="14598" width="5.5703125" style="51" customWidth="1"/>
    <col min="14599" max="14601" width="11" style="51" customWidth="1"/>
    <col min="14602" max="14602" width="15.28515625" style="51" customWidth="1"/>
    <col min="14603" max="14603" width="1" style="51" customWidth="1"/>
    <col min="14604" max="14604" width="20" style="51" customWidth="1"/>
    <col min="14605" max="14605" width="2.85546875" style="51" customWidth="1"/>
    <col min="14606" max="14606" width="5.5703125" style="51" customWidth="1"/>
    <col min="14607" max="14607" width="4.5703125" style="51" customWidth="1"/>
    <col min="14608" max="14608" width="5.5703125" style="51" customWidth="1"/>
    <col min="14609" max="14610" width="11" style="51" customWidth="1"/>
    <col min="14611" max="14611" width="11.28515625" style="51" customWidth="1"/>
    <col min="14612" max="14612" width="15.28515625" style="51" customWidth="1"/>
    <col min="14613" max="14613" width="0.42578125" style="51" customWidth="1"/>
    <col min="14614" max="14615" width="11.42578125" style="51"/>
    <col min="14616" max="14616" width="6.85546875" style="51" customWidth="1"/>
    <col min="14617" max="14848" width="11.42578125" style="51"/>
    <col min="14849" max="14849" width="10.140625" style="51" customWidth="1"/>
    <col min="14850" max="14850" width="20" style="51" customWidth="1"/>
    <col min="14851" max="14851" width="2.85546875" style="51" customWidth="1"/>
    <col min="14852" max="14853" width="4.5703125" style="51" customWidth="1"/>
    <col min="14854" max="14854" width="5.5703125" style="51" customWidth="1"/>
    <col min="14855" max="14857" width="11" style="51" customWidth="1"/>
    <col min="14858" max="14858" width="15.28515625" style="51" customWidth="1"/>
    <col min="14859" max="14859" width="1" style="51" customWidth="1"/>
    <col min="14860" max="14860" width="20" style="51" customWidth="1"/>
    <col min="14861" max="14861" width="2.85546875" style="51" customWidth="1"/>
    <col min="14862" max="14862" width="5.5703125" style="51" customWidth="1"/>
    <col min="14863" max="14863" width="4.5703125" style="51" customWidth="1"/>
    <col min="14864" max="14864" width="5.5703125" style="51" customWidth="1"/>
    <col min="14865" max="14866" width="11" style="51" customWidth="1"/>
    <col min="14867" max="14867" width="11.28515625" style="51" customWidth="1"/>
    <col min="14868" max="14868" width="15.28515625" style="51" customWidth="1"/>
    <col min="14869" max="14869" width="0.42578125" style="51" customWidth="1"/>
    <col min="14870" max="14871" width="11.42578125" style="51"/>
    <col min="14872" max="14872" width="6.85546875" style="51" customWidth="1"/>
    <col min="14873" max="15104" width="11.42578125" style="51"/>
    <col min="15105" max="15105" width="10.140625" style="51" customWidth="1"/>
    <col min="15106" max="15106" width="20" style="51" customWidth="1"/>
    <col min="15107" max="15107" width="2.85546875" style="51" customWidth="1"/>
    <col min="15108" max="15109" width="4.5703125" style="51" customWidth="1"/>
    <col min="15110" max="15110" width="5.5703125" style="51" customWidth="1"/>
    <col min="15111" max="15113" width="11" style="51" customWidth="1"/>
    <col min="15114" max="15114" width="15.28515625" style="51" customWidth="1"/>
    <col min="15115" max="15115" width="1" style="51" customWidth="1"/>
    <col min="15116" max="15116" width="20" style="51" customWidth="1"/>
    <col min="15117" max="15117" width="2.85546875" style="51" customWidth="1"/>
    <col min="15118" max="15118" width="5.5703125" style="51" customWidth="1"/>
    <col min="15119" max="15119" width="4.5703125" style="51" customWidth="1"/>
    <col min="15120" max="15120" width="5.5703125" style="51" customWidth="1"/>
    <col min="15121" max="15122" width="11" style="51" customWidth="1"/>
    <col min="15123" max="15123" width="11.28515625" style="51" customWidth="1"/>
    <col min="15124" max="15124" width="15.28515625" style="51" customWidth="1"/>
    <col min="15125" max="15125" width="0.42578125" style="51" customWidth="1"/>
    <col min="15126" max="15127" width="11.42578125" style="51"/>
    <col min="15128" max="15128" width="6.85546875" style="51" customWidth="1"/>
    <col min="15129" max="15360" width="11.42578125" style="51"/>
    <col min="15361" max="15361" width="10.140625" style="51" customWidth="1"/>
    <col min="15362" max="15362" width="20" style="51" customWidth="1"/>
    <col min="15363" max="15363" width="2.85546875" style="51" customWidth="1"/>
    <col min="15364" max="15365" width="4.5703125" style="51" customWidth="1"/>
    <col min="15366" max="15366" width="5.5703125" style="51" customWidth="1"/>
    <col min="15367" max="15369" width="11" style="51" customWidth="1"/>
    <col min="15370" max="15370" width="15.28515625" style="51" customWidth="1"/>
    <col min="15371" max="15371" width="1" style="51" customWidth="1"/>
    <col min="15372" max="15372" width="20" style="51" customWidth="1"/>
    <col min="15373" max="15373" width="2.85546875" style="51" customWidth="1"/>
    <col min="15374" max="15374" width="5.5703125" style="51" customWidth="1"/>
    <col min="15375" max="15375" width="4.5703125" style="51" customWidth="1"/>
    <col min="15376" max="15376" width="5.5703125" style="51" customWidth="1"/>
    <col min="15377" max="15378" width="11" style="51" customWidth="1"/>
    <col min="15379" max="15379" width="11.28515625" style="51" customWidth="1"/>
    <col min="15380" max="15380" width="15.28515625" style="51" customWidth="1"/>
    <col min="15381" max="15381" width="0.42578125" style="51" customWidth="1"/>
    <col min="15382" max="15383" width="11.42578125" style="51"/>
    <col min="15384" max="15384" width="6.85546875" style="51" customWidth="1"/>
    <col min="15385" max="15616" width="11.42578125" style="51"/>
    <col min="15617" max="15617" width="10.140625" style="51" customWidth="1"/>
    <col min="15618" max="15618" width="20" style="51" customWidth="1"/>
    <col min="15619" max="15619" width="2.85546875" style="51" customWidth="1"/>
    <col min="15620" max="15621" width="4.5703125" style="51" customWidth="1"/>
    <col min="15622" max="15622" width="5.5703125" style="51" customWidth="1"/>
    <col min="15623" max="15625" width="11" style="51" customWidth="1"/>
    <col min="15626" max="15626" width="15.28515625" style="51" customWidth="1"/>
    <col min="15627" max="15627" width="1" style="51" customWidth="1"/>
    <col min="15628" max="15628" width="20" style="51" customWidth="1"/>
    <col min="15629" max="15629" width="2.85546875" style="51" customWidth="1"/>
    <col min="15630" max="15630" width="5.5703125" style="51" customWidth="1"/>
    <col min="15631" max="15631" width="4.5703125" style="51" customWidth="1"/>
    <col min="15632" max="15632" width="5.5703125" style="51" customWidth="1"/>
    <col min="15633" max="15634" width="11" style="51" customWidth="1"/>
    <col min="15635" max="15635" width="11.28515625" style="51" customWidth="1"/>
    <col min="15636" max="15636" width="15.28515625" style="51" customWidth="1"/>
    <col min="15637" max="15637" width="0.42578125" style="51" customWidth="1"/>
    <col min="15638" max="15639" width="11.42578125" style="51"/>
    <col min="15640" max="15640" width="6.85546875" style="51" customWidth="1"/>
    <col min="15641" max="15872" width="11.42578125" style="51"/>
    <col min="15873" max="15873" width="10.140625" style="51" customWidth="1"/>
    <col min="15874" max="15874" width="20" style="51" customWidth="1"/>
    <col min="15875" max="15875" width="2.85546875" style="51" customWidth="1"/>
    <col min="15876" max="15877" width="4.5703125" style="51" customWidth="1"/>
    <col min="15878" max="15878" width="5.5703125" style="51" customWidth="1"/>
    <col min="15879" max="15881" width="11" style="51" customWidth="1"/>
    <col min="15882" max="15882" width="15.28515625" style="51" customWidth="1"/>
    <col min="15883" max="15883" width="1" style="51" customWidth="1"/>
    <col min="15884" max="15884" width="20" style="51" customWidth="1"/>
    <col min="15885" max="15885" width="2.85546875" style="51" customWidth="1"/>
    <col min="15886" max="15886" width="5.5703125" style="51" customWidth="1"/>
    <col min="15887" max="15887" width="4.5703125" style="51" customWidth="1"/>
    <col min="15888" max="15888" width="5.5703125" style="51" customWidth="1"/>
    <col min="15889" max="15890" width="11" style="51" customWidth="1"/>
    <col min="15891" max="15891" width="11.28515625" style="51" customWidth="1"/>
    <col min="15892" max="15892" width="15.28515625" style="51" customWidth="1"/>
    <col min="15893" max="15893" width="0.42578125" style="51" customWidth="1"/>
    <col min="15894" max="15895" width="11.42578125" style="51"/>
    <col min="15896" max="15896" width="6.85546875" style="51" customWidth="1"/>
    <col min="15897" max="16128" width="11.42578125" style="51"/>
    <col min="16129" max="16129" width="10.140625" style="51" customWidth="1"/>
    <col min="16130" max="16130" width="20" style="51" customWidth="1"/>
    <col min="16131" max="16131" width="2.85546875" style="51" customWidth="1"/>
    <col min="16132" max="16133" width="4.5703125" style="51" customWidth="1"/>
    <col min="16134" max="16134" width="5.5703125" style="51" customWidth="1"/>
    <col min="16135" max="16137" width="11" style="51" customWidth="1"/>
    <col min="16138" max="16138" width="15.28515625" style="51" customWidth="1"/>
    <col min="16139" max="16139" width="1" style="51" customWidth="1"/>
    <col min="16140" max="16140" width="20" style="51" customWidth="1"/>
    <col min="16141" max="16141" width="2.85546875" style="51" customWidth="1"/>
    <col min="16142" max="16142" width="5.5703125" style="51" customWidth="1"/>
    <col min="16143" max="16143" width="4.5703125" style="51" customWidth="1"/>
    <col min="16144" max="16144" width="5.5703125" style="51" customWidth="1"/>
    <col min="16145" max="16146" width="11" style="51" customWidth="1"/>
    <col min="16147" max="16147" width="11.28515625" style="51" customWidth="1"/>
    <col min="16148" max="16148" width="15.28515625" style="51" customWidth="1"/>
    <col min="16149" max="16149" width="0.42578125" style="51" customWidth="1"/>
    <col min="16150" max="16151" width="11.42578125" style="51"/>
    <col min="16152" max="16152" width="6.85546875" style="51" customWidth="1"/>
    <col min="16153" max="16384" width="11.42578125" style="51"/>
  </cols>
  <sheetData>
    <row r="1" spans="2:30" ht="21.75" thickBot="1" x14ac:dyDescent="0.3">
      <c r="B1" s="164" t="s">
        <v>92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2:30" ht="29.25" thickBot="1" x14ac:dyDescent="0.3">
      <c r="B2" s="48" t="s">
        <v>0</v>
      </c>
      <c r="C2" s="52"/>
      <c r="D2" s="53">
        <v>7</v>
      </c>
      <c r="E2" s="54"/>
      <c r="F2" s="55"/>
      <c r="G2" s="55"/>
      <c r="H2" s="56"/>
      <c r="I2" s="56"/>
      <c r="J2" s="56"/>
      <c r="K2" s="57"/>
      <c r="L2" s="56"/>
      <c r="M2" s="58"/>
      <c r="N2" s="58"/>
      <c r="O2" s="58"/>
      <c r="P2" s="56"/>
      <c r="Q2" s="59" t="s">
        <v>93</v>
      </c>
      <c r="R2" s="59"/>
      <c r="S2" s="60">
        <v>15</v>
      </c>
      <c r="T2" s="56"/>
    </row>
    <row r="3" spans="2:30" ht="19.5" thickBot="1" x14ac:dyDescent="0.3">
      <c r="B3" s="48" t="s">
        <v>1</v>
      </c>
      <c r="C3" s="61"/>
      <c r="D3" s="62"/>
      <c r="E3" s="63"/>
      <c r="F3" s="64"/>
      <c r="G3" s="65">
        <v>46309</v>
      </c>
      <c r="H3" s="56"/>
      <c r="I3" s="56"/>
      <c r="J3" s="56"/>
      <c r="K3" s="57"/>
      <c r="L3" s="56"/>
      <c r="M3" s="58"/>
      <c r="N3" s="58"/>
      <c r="O3" s="58"/>
      <c r="P3" s="56"/>
      <c r="Q3" s="59" t="s">
        <v>94</v>
      </c>
      <c r="R3" s="59"/>
      <c r="S3" s="60">
        <v>7.5</v>
      </c>
      <c r="T3" s="56"/>
    </row>
    <row r="4" spans="2:30" ht="32.25" thickBot="1" x14ac:dyDescent="0.3">
      <c r="B4" s="48" t="s">
        <v>95</v>
      </c>
      <c r="C4" s="52"/>
      <c r="D4" s="66">
        <v>7</v>
      </c>
      <c r="E4" s="67"/>
      <c r="F4" s="56"/>
      <c r="G4" s="56"/>
      <c r="H4" s="56"/>
      <c r="I4" s="56"/>
      <c r="J4" s="56"/>
      <c r="K4" s="57"/>
      <c r="L4" s="68" t="s">
        <v>95</v>
      </c>
      <c r="M4" s="69"/>
      <c r="N4" s="70">
        <v>8</v>
      </c>
      <c r="O4" s="71"/>
      <c r="P4" s="56"/>
      <c r="Q4" s="56"/>
      <c r="R4" s="56"/>
      <c r="S4" s="56"/>
      <c r="T4" s="56"/>
    </row>
    <row r="5" spans="2:30" ht="32.25" thickBot="1" x14ac:dyDescent="0.3">
      <c r="B5" s="48" t="s">
        <v>96</v>
      </c>
      <c r="C5" s="61"/>
      <c r="D5" s="72"/>
      <c r="E5" s="73"/>
      <c r="F5" s="74"/>
      <c r="G5" s="70" t="s">
        <v>91</v>
      </c>
      <c r="H5" s="74"/>
      <c r="I5" s="74"/>
      <c r="J5" s="75"/>
      <c r="K5" s="57"/>
      <c r="L5" s="68" t="s">
        <v>96</v>
      </c>
      <c r="M5" s="69"/>
      <c r="N5" s="73"/>
      <c r="O5" s="73"/>
      <c r="P5" s="74"/>
      <c r="Q5" s="70" t="s">
        <v>23</v>
      </c>
      <c r="R5" s="74"/>
      <c r="S5" s="74"/>
      <c r="T5" s="75"/>
    </row>
    <row r="6" spans="2:30" ht="21" x14ac:dyDescent="0.25">
      <c r="B6" s="76" t="s">
        <v>97</v>
      </c>
      <c r="C6" s="77"/>
      <c r="D6" s="78"/>
      <c r="E6" s="79"/>
      <c r="F6" s="165"/>
      <c r="G6" s="165"/>
      <c r="H6" s="165"/>
      <c r="I6" s="165"/>
      <c r="J6" s="165"/>
      <c r="K6" s="80"/>
      <c r="L6" s="76" t="s">
        <v>97</v>
      </c>
      <c r="M6" s="79"/>
      <c r="N6" s="81"/>
      <c r="O6" s="79"/>
      <c r="P6" s="165"/>
      <c r="Q6" s="165"/>
      <c r="R6" s="165"/>
      <c r="S6" s="165"/>
      <c r="T6" s="165"/>
    </row>
    <row r="7" spans="2:30" ht="33" x14ac:dyDescent="0.25">
      <c r="B7" s="82" t="s">
        <v>98</v>
      </c>
      <c r="C7" s="83" t="s">
        <v>99</v>
      </c>
      <c r="D7" s="84" t="s">
        <v>100</v>
      </c>
      <c r="E7" s="85" t="s">
        <v>101</v>
      </c>
      <c r="F7" s="86" t="s">
        <v>102</v>
      </c>
      <c r="G7" s="87" t="s">
        <v>103</v>
      </c>
      <c r="H7" s="87" t="s">
        <v>104</v>
      </c>
      <c r="I7" s="87" t="s">
        <v>105</v>
      </c>
      <c r="J7" s="87" t="s">
        <v>106</v>
      </c>
      <c r="K7" s="56" t="s">
        <v>107</v>
      </c>
      <c r="L7" s="82" t="s">
        <v>98</v>
      </c>
      <c r="M7" s="83" t="s">
        <v>99</v>
      </c>
      <c r="N7" s="84" t="s">
        <v>100</v>
      </c>
      <c r="O7" s="85" t="s">
        <v>101</v>
      </c>
      <c r="P7" s="86" t="s">
        <v>102</v>
      </c>
      <c r="Q7" s="87" t="s">
        <v>103</v>
      </c>
      <c r="R7" s="87" t="s">
        <v>104</v>
      </c>
      <c r="S7" s="87" t="s">
        <v>105</v>
      </c>
      <c r="T7" s="87" t="s">
        <v>106</v>
      </c>
      <c r="U7" s="56" t="s">
        <v>107</v>
      </c>
      <c r="AA7" s="86"/>
      <c r="AB7" s="88"/>
      <c r="AC7" s="85"/>
      <c r="AD7" s="89"/>
    </row>
    <row r="8" spans="2:30" ht="31.5" x14ac:dyDescent="0.25">
      <c r="B8" s="91" t="s">
        <v>45</v>
      </c>
      <c r="C8" s="92">
        <v>130</v>
      </c>
      <c r="D8" s="93">
        <v>56</v>
      </c>
      <c r="E8" s="94">
        <v>9</v>
      </c>
      <c r="F8" s="90"/>
      <c r="G8" s="90"/>
      <c r="H8" s="90"/>
      <c r="I8" s="90"/>
      <c r="J8" s="90"/>
      <c r="K8" s="95"/>
      <c r="L8" s="91" t="s">
        <v>25</v>
      </c>
      <c r="M8" s="92">
        <v>127</v>
      </c>
      <c r="N8" s="93">
        <v>58</v>
      </c>
      <c r="O8" s="94">
        <v>9</v>
      </c>
      <c r="P8" s="90"/>
      <c r="Q8" s="90"/>
      <c r="R8" s="90"/>
      <c r="S8" s="90"/>
      <c r="T8" s="90"/>
      <c r="U8" s="90"/>
    </row>
    <row r="9" spans="2:30" ht="31.5" x14ac:dyDescent="0.25">
      <c r="B9" s="91" t="s">
        <v>48</v>
      </c>
      <c r="C9" s="92">
        <v>128</v>
      </c>
      <c r="D9" s="93">
        <v>58</v>
      </c>
      <c r="E9" s="94">
        <v>12</v>
      </c>
      <c r="F9" s="90"/>
      <c r="G9" s="90"/>
      <c r="H9" s="90"/>
      <c r="I9" s="90"/>
      <c r="J9" s="90"/>
      <c r="K9" s="95"/>
      <c r="L9" s="91" t="s">
        <v>223</v>
      </c>
      <c r="M9" s="92">
        <v>174</v>
      </c>
      <c r="N9" s="93">
        <v>21</v>
      </c>
      <c r="O9" s="94">
        <v>9</v>
      </c>
      <c r="P9" s="90"/>
      <c r="Q9" s="90"/>
      <c r="R9" s="90"/>
      <c r="S9" s="90"/>
      <c r="T9" s="90"/>
      <c r="U9" s="90"/>
    </row>
    <row r="10" spans="2:30" ht="31.5" x14ac:dyDescent="0.25">
      <c r="B10" s="91" t="s">
        <v>46</v>
      </c>
      <c r="C10" s="92">
        <v>146</v>
      </c>
      <c r="D10" s="93">
        <v>43</v>
      </c>
      <c r="E10" s="94">
        <v>15</v>
      </c>
      <c r="F10" s="90"/>
      <c r="G10" s="90"/>
      <c r="H10" s="90"/>
      <c r="I10" s="90"/>
      <c r="J10" s="90"/>
      <c r="K10" s="95"/>
      <c r="L10" s="91" t="s">
        <v>26</v>
      </c>
      <c r="M10" s="92">
        <v>124</v>
      </c>
      <c r="N10" s="93">
        <v>61</v>
      </c>
      <c r="O10" s="94">
        <v>15</v>
      </c>
      <c r="P10" s="90"/>
      <c r="Q10" s="90"/>
      <c r="R10" s="90"/>
      <c r="S10" s="90"/>
      <c r="T10" s="90"/>
      <c r="U10" s="90"/>
    </row>
    <row r="11" spans="2:30" ht="31.5" x14ac:dyDescent="0.25">
      <c r="B11" s="91" t="s">
        <v>108</v>
      </c>
      <c r="C11" s="92">
        <v>153</v>
      </c>
      <c r="D11" s="93">
        <v>38</v>
      </c>
      <c r="E11" s="94">
        <v>12</v>
      </c>
      <c r="F11" s="90"/>
      <c r="G11" s="90"/>
      <c r="H11" s="90"/>
      <c r="I11" s="90"/>
      <c r="J11" s="90"/>
      <c r="K11" s="95"/>
      <c r="L11" s="91" t="s">
        <v>27</v>
      </c>
      <c r="M11" s="92">
        <v>138</v>
      </c>
      <c r="N11" s="93">
        <v>50</v>
      </c>
      <c r="O11" s="94">
        <v>3</v>
      </c>
      <c r="P11" s="90"/>
      <c r="Q11" s="90"/>
      <c r="R11" s="90"/>
      <c r="S11" s="90"/>
      <c r="T11" s="90"/>
      <c r="U11" s="90"/>
    </row>
    <row r="12" spans="2:30" ht="31.5" x14ac:dyDescent="0.25">
      <c r="B12" s="96" t="s">
        <v>222</v>
      </c>
      <c r="C12" s="150">
        <v>160</v>
      </c>
      <c r="D12" s="124">
        <v>32</v>
      </c>
      <c r="E12" s="98">
        <v>15</v>
      </c>
      <c r="F12" s="90"/>
      <c r="G12" s="90"/>
      <c r="H12" s="90"/>
      <c r="I12" s="90"/>
      <c r="J12" s="90"/>
      <c r="K12" s="95"/>
      <c r="L12" s="91" t="s">
        <v>134</v>
      </c>
      <c r="M12" s="92">
        <v>159</v>
      </c>
      <c r="N12" s="93">
        <v>33</v>
      </c>
      <c r="O12" s="94">
        <v>15</v>
      </c>
      <c r="P12" s="90"/>
      <c r="Q12" s="90"/>
      <c r="R12" s="90"/>
      <c r="S12" s="90"/>
      <c r="T12" s="90"/>
      <c r="U12" s="90"/>
    </row>
    <row r="13" spans="2:30" ht="31.5" x14ac:dyDescent="0.25">
      <c r="F13" s="90"/>
      <c r="G13" s="90"/>
      <c r="H13" s="90"/>
      <c r="I13" s="90"/>
      <c r="J13" s="90"/>
      <c r="K13" s="95"/>
      <c r="L13" s="91" t="s">
        <v>24</v>
      </c>
      <c r="M13" s="92">
        <v>171</v>
      </c>
      <c r="N13" s="93">
        <v>23</v>
      </c>
      <c r="O13" s="94">
        <v>18</v>
      </c>
      <c r="P13" s="90"/>
      <c r="Q13" s="90"/>
      <c r="R13" s="90"/>
      <c r="S13" s="90"/>
      <c r="T13" s="90"/>
      <c r="U13" s="90"/>
    </row>
    <row r="14" spans="2:30" x14ac:dyDescent="0.25">
      <c r="F14" s="152"/>
      <c r="G14" s="152"/>
      <c r="H14" s="90"/>
      <c r="I14" s="90"/>
      <c r="J14" s="90"/>
      <c r="K14" s="95"/>
      <c r="P14" s="90"/>
      <c r="Q14" s="90"/>
      <c r="R14" s="90"/>
      <c r="S14" s="90"/>
      <c r="T14" s="90"/>
      <c r="U14" s="90"/>
    </row>
    <row r="15" spans="2:30" ht="31.5" x14ac:dyDescent="0.25">
      <c r="B15" s="153" t="s">
        <v>110</v>
      </c>
      <c r="C15" s="125"/>
      <c r="D15" s="125"/>
      <c r="E15" s="104"/>
      <c r="F15" s="90"/>
      <c r="G15" s="96"/>
      <c r="H15" s="99"/>
      <c r="I15" s="99"/>
      <c r="J15" s="99"/>
      <c r="L15" s="90"/>
      <c r="M15" s="125"/>
      <c r="N15" s="125"/>
      <c r="O15" s="104"/>
      <c r="P15" s="120" t="s">
        <v>109</v>
      </c>
      <c r="Q15" s="90"/>
      <c r="R15" s="90"/>
      <c r="S15" s="90"/>
      <c r="T15" s="90"/>
      <c r="U15" s="90"/>
    </row>
    <row r="16" spans="2:30" ht="32.25" thickBot="1" x14ac:dyDescent="0.3">
      <c r="B16" s="107" t="s">
        <v>111</v>
      </c>
      <c r="G16" s="99"/>
      <c r="H16" s="96"/>
      <c r="I16" s="96"/>
      <c r="J16" s="96"/>
      <c r="M16" s="100"/>
      <c r="N16" s="100"/>
    </row>
    <row r="17" spans="2:21" ht="31.5" x14ac:dyDescent="0.25">
      <c r="B17" s="107" t="s">
        <v>112</v>
      </c>
      <c r="G17" s="108"/>
      <c r="H17" s="108"/>
      <c r="I17" s="96"/>
      <c r="J17" s="96"/>
      <c r="L17" s="106" t="s">
        <v>110</v>
      </c>
      <c r="Q17" s="96"/>
      <c r="R17" s="96"/>
      <c r="S17" s="96"/>
      <c r="T17" s="96"/>
      <c r="U17" s="90"/>
    </row>
    <row r="18" spans="2:21" ht="31.5" x14ac:dyDescent="0.25">
      <c r="B18" s="107" t="s">
        <v>113</v>
      </c>
      <c r="F18" s="109"/>
      <c r="G18" s="96"/>
      <c r="H18" s="96"/>
      <c r="I18" s="96"/>
      <c r="J18" s="96"/>
      <c r="L18" s="107" t="s">
        <v>111</v>
      </c>
      <c r="Q18" s="96"/>
      <c r="R18" s="96"/>
      <c r="S18" s="96"/>
      <c r="T18" s="96"/>
      <c r="U18" s="90"/>
    </row>
    <row r="19" spans="2:21" ht="31.5" x14ac:dyDescent="0.25">
      <c r="B19" s="107" t="s">
        <v>114</v>
      </c>
      <c r="G19" s="110"/>
      <c r="H19" s="110"/>
      <c r="I19" s="110"/>
      <c r="J19" s="96"/>
      <c r="L19" s="107" t="s">
        <v>112</v>
      </c>
      <c r="Q19" s="108"/>
      <c r="R19" s="108"/>
      <c r="S19" s="96"/>
      <c r="T19" s="96"/>
      <c r="U19" s="90"/>
    </row>
    <row r="20" spans="2:21" ht="32.25" thickBot="1" x14ac:dyDescent="0.3">
      <c r="B20" s="111" t="s">
        <v>115</v>
      </c>
      <c r="G20" s="110"/>
      <c r="H20" s="110"/>
      <c r="I20" s="110"/>
      <c r="J20" s="96"/>
      <c r="L20" s="107" t="s">
        <v>113</v>
      </c>
      <c r="P20" s="109"/>
      <c r="Q20" s="96"/>
      <c r="R20" s="96"/>
      <c r="S20" s="96"/>
      <c r="T20" s="96"/>
      <c r="U20" s="90"/>
    </row>
    <row r="21" spans="2:21" ht="31.5" x14ac:dyDescent="0.25">
      <c r="L21" s="107" t="s">
        <v>114</v>
      </c>
      <c r="Q21" s="110"/>
      <c r="R21" s="110"/>
      <c r="S21" s="110"/>
      <c r="T21" s="96"/>
    </row>
    <row r="22" spans="2:21" ht="32.25" thickBot="1" x14ac:dyDescent="0.3">
      <c r="B22" s="51" t="s">
        <v>116</v>
      </c>
      <c r="F22" s="112"/>
      <c r="G22" s="112"/>
      <c r="H22" s="112"/>
      <c r="I22" s="112"/>
      <c r="J22" s="112"/>
      <c r="L22" s="111" t="s">
        <v>115</v>
      </c>
      <c r="Q22" s="110"/>
      <c r="R22" s="110"/>
      <c r="S22" s="110"/>
      <c r="T22" s="96"/>
    </row>
    <row r="24" spans="2:21" x14ac:dyDescent="0.25">
      <c r="B24" s="113" t="s">
        <v>117</v>
      </c>
      <c r="C24" s="114"/>
      <c r="D24" s="114"/>
      <c r="E24" s="115"/>
      <c r="F24" s="113"/>
      <c r="G24" s="113"/>
      <c r="H24" s="113"/>
      <c r="I24" s="113"/>
      <c r="J24" s="113"/>
      <c r="K24" s="116"/>
      <c r="L24" s="113"/>
      <c r="M24" s="115"/>
      <c r="N24" s="115"/>
      <c r="O24" s="115"/>
      <c r="P24" s="113"/>
      <c r="Q24" s="113"/>
      <c r="R24" s="113"/>
      <c r="S24" s="113"/>
    </row>
    <row r="25" spans="2:21" x14ac:dyDescent="0.25">
      <c r="B25" s="113"/>
      <c r="C25" s="114"/>
      <c r="D25" s="114"/>
      <c r="E25" s="115"/>
      <c r="F25" s="113"/>
      <c r="G25" s="113"/>
      <c r="H25" s="113"/>
      <c r="I25" s="113"/>
      <c r="J25" s="113"/>
      <c r="K25" s="116"/>
      <c r="L25" s="113"/>
      <c r="M25" s="115"/>
      <c r="N25" s="115"/>
      <c r="O25" s="115"/>
      <c r="P25" s="113"/>
      <c r="Q25" s="113"/>
      <c r="R25" s="113"/>
      <c r="S25" s="113"/>
    </row>
    <row r="26" spans="2:21" ht="21" x14ac:dyDescent="0.25">
      <c r="B26" s="117" t="s">
        <v>118</v>
      </c>
      <c r="C26" s="118"/>
      <c r="D26" s="118">
        <v>1</v>
      </c>
      <c r="E26" s="117" t="s">
        <v>119</v>
      </c>
      <c r="F26" s="117"/>
      <c r="L26" s="117" t="s">
        <v>120</v>
      </c>
      <c r="M26" s="117"/>
      <c r="N26" s="117">
        <v>4</v>
      </c>
      <c r="O26" s="117" t="s">
        <v>119</v>
      </c>
      <c r="P26" s="117"/>
    </row>
    <row r="27" spans="2:21" ht="21" x14ac:dyDescent="0.25">
      <c r="B27" s="117" t="s">
        <v>121</v>
      </c>
      <c r="C27" s="118"/>
      <c r="D27" s="118">
        <v>2</v>
      </c>
      <c r="E27" s="117" t="s">
        <v>82</v>
      </c>
      <c r="F27" s="117"/>
      <c r="L27" s="117" t="s">
        <v>122</v>
      </c>
      <c r="M27" s="117"/>
      <c r="N27" s="117">
        <v>5</v>
      </c>
      <c r="O27" s="117" t="s">
        <v>82</v>
      </c>
      <c r="P27" s="117"/>
    </row>
    <row r="28" spans="2:21" ht="21" x14ac:dyDescent="0.25">
      <c r="B28" s="117" t="s">
        <v>123</v>
      </c>
      <c r="C28" s="118"/>
      <c r="D28" s="118">
        <v>3</v>
      </c>
      <c r="E28" s="117" t="s">
        <v>82</v>
      </c>
      <c r="F28" s="117"/>
      <c r="L28" s="117" t="s">
        <v>124</v>
      </c>
      <c r="M28" s="117"/>
      <c r="N28" s="117">
        <v>6</v>
      </c>
      <c r="O28" s="117" t="s">
        <v>82</v>
      </c>
      <c r="P28" s="117"/>
    </row>
  </sheetData>
  <mergeCells count="3">
    <mergeCell ref="B1:R1"/>
    <mergeCell ref="F6:J6"/>
    <mergeCell ref="P6:T6"/>
  </mergeCells>
  <pageMargins left="0.7" right="0.7" top="0.78740157499999996" bottom="0.78740157499999996" header="0.3" footer="0.3"/>
  <pageSetup paperSize="9" scale="5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31"/>
  <sheetViews>
    <sheetView topLeftCell="A4" workbookViewId="0">
      <selection activeCell="F12" sqref="F12"/>
    </sheetView>
  </sheetViews>
  <sheetFormatPr baseColWidth="10" defaultRowHeight="18.75" x14ac:dyDescent="0.25"/>
  <cols>
    <col min="1" max="1" width="2.28515625" style="51" customWidth="1"/>
    <col min="2" max="2" width="20" style="51" customWidth="1"/>
    <col min="3" max="3" width="6.42578125" style="100" customWidth="1"/>
    <col min="4" max="4" width="7.42578125" style="100" customWidth="1"/>
    <col min="5" max="5" width="6.42578125" style="101" customWidth="1"/>
    <col min="6" max="6" width="4" style="51" customWidth="1"/>
    <col min="7" max="9" width="12.140625" style="51" customWidth="1"/>
    <col min="10" max="10" width="15.28515625" style="51" customWidth="1"/>
    <col min="11" max="11" width="15.28515625" style="105" customWidth="1"/>
    <col min="12" max="12" width="20" style="51" customWidth="1"/>
    <col min="13" max="13" width="6.42578125" style="101" customWidth="1"/>
    <col min="14" max="14" width="7.42578125" style="101" customWidth="1"/>
    <col min="15" max="15" width="6.28515625" style="101" customWidth="1"/>
    <col min="16" max="16" width="4" style="51" customWidth="1"/>
    <col min="17" max="19" width="12.140625" style="51" customWidth="1"/>
    <col min="20" max="21" width="15.28515625" style="51" customWidth="1"/>
    <col min="22" max="23" width="11.42578125" style="51"/>
    <col min="24" max="24" width="6.85546875" style="51" customWidth="1"/>
    <col min="25" max="256" width="11.42578125" style="51"/>
    <col min="257" max="257" width="10.140625" style="51" customWidth="1"/>
    <col min="258" max="258" width="20" style="51" customWidth="1"/>
    <col min="259" max="259" width="2.85546875" style="51" customWidth="1"/>
    <col min="260" max="261" width="4.5703125" style="51" customWidth="1"/>
    <col min="262" max="262" width="5.5703125" style="51" customWidth="1"/>
    <col min="263" max="265" width="11" style="51" customWidth="1"/>
    <col min="266" max="266" width="15.28515625" style="51" customWidth="1"/>
    <col min="267" max="267" width="1" style="51" customWidth="1"/>
    <col min="268" max="268" width="20" style="51" customWidth="1"/>
    <col min="269" max="269" width="2.85546875" style="51" customWidth="1"/>
    <col min="270" max="270" width="5.5703125" style="51" customWidth="1"/>
    <col min="271" max="271" width="4.5703125" style="51" customWidth="1"/>
    <col min="272" max="272" width="5.5703125" style="51" customWidth="1"/>
    <col min="273" max="274" width="11" style="51" customWidth="1"/>
    <col min="275" max="275" width="11.28515625" style="51" customWidth="1"/>
    <col min="276" max="276" width="15.28515625" style="51" customWidth="1"/>
    <col min="277" max="277" width="0.42578125" style="51" customWidth="1"/>
    <col min="278" max="279" width="11.42578125" style="51"/>
    <col min="280" max="280" width="6.85546875" style="51" customWidth="1"/>
    <col min="281" max="512" width="11.42578125" style="51"/>
    <col min="513" max="513" width="10.140625" style="51" customWidth="1"/>
    <col min="514" max="514" width="20" style="51" customWidth="1"/>
    <col min="515" max="515" width="2.85546875" style="51" customWidth="1"/>
    <col min="516" max="517" width="4.5703125" style="51" customWidth="1"/>
    <col min="518" max="518" width="5.5703125" style="51" customWidth="1"/>
    <col min="519" max="521" width="11" style="51" customWidth="1"/>
    <col min="522" max="522" width="15.28515625" style="51" customWidth="1"/>
    <col min="523" max="523" width="1" style="51" customWidth="1"/>
    <col min="524" max="524" width="20" style="51" customWidth="1"/>
    <col min="525" max="525" width="2.85546875" style="51" customWidth="1"/>
    <col min="526" max="526" width="5.5703125" style="51" customWidth="1"/>
    <col min="527" max="527" width="4.5703125" style="51" customWidth="1"/>
    <col min="528" max="528" width="5.5703125" style="51" customWidth="1"/>
    <col min="529" max="530" width="11" style="51" customWidth="1"/>
    <col min="531" max="531" width="11.28515625" style="51" customWidth="1"/>
    <col min="532" max="532" width="15.28515625" style="51" customWidth="1"/>
    <col min="533" max="533" width="0.42578125" style="51" customWidth="1"/>
    <col min="534" max="535" width="11.42578125" style="51"/>
    <col min="536" max="536" width="6.85546875" style="51" customWidth="1"/>
    <col min="537" max="768" width="11.42578125" style="51"/>
    <col min="769" max="769" width="10.140625" style="51" customWidth="1"/>
    <col min="770" max="770" width="20" style="51" customWidth="1"/>
    <col min="771" max="771" width="2.85546875" style="51" customWidth="1"/>
    <col min="772" max="773" width="4.5703125" style="51" customWidth="1"/>
    <col min="774" max="774" width="5.5703125" style="51" customWidth="1"/>
    <col min="775" max="777" width="11" style="51" customWidth="1"/>
    <col min="778" max="778" width="15.28515625" style="51" customWidth="1"/>
    <col min="779" max="779" width="1" style="51" customWidth="1"/>
    <col min="780" max="780" width="20" style="51" customWidth="1"/>
    <col min="781" max="781" width="2.85546875" style="51" customWidth="1"/>
    <col min="782" max="782" width="5.5703125" style="51" customWidth="1"/>
    <col min="783" max="783" width="4.5703125" style="51" customWidth="1"/>
    <col min="784" max="784" width="5.5703125" style="51" customWidth="1"/>
    <col min="785" max="786" width="11" style="51" customWidth="1"/>
    <col min="787" max="787" width="11.28515625" style="51" customWidth="1"/>
    <col min="788" max="788" width="15.28515625" style="51" customWidth="1"/>
    <col min="789" max="789" width="0.42578125" style="51" customWidth="1"/>
    <col min="790" max="791" width="11.42578125" style="51"/>
    <col min="792" max="792" width="6.85546875" style="51" customWidth="1"/>
    <col min="793" max="1024" width="11.42578125" style="51"/>
    <col min="1025" max="1025" width="10.140625" style="51" customWidth="1"/>
    <col min="1026" max="1026" width="20" style="51" customWidth="1"/>
    <col min="1027" max="1027" width="2.85546875" style="51" customWidth="1"/>
    <col min="1028" max="1029" width="4.5703125" style="51" customWidth="1"/>
    <col min="1030" max="1030" width="5.5703125" style="51" customWidth="1"/>
    <col min="1031" max="1033" width="11" style="51" customWidth="1"/>
    <col min="1034" max="1034" width="15.28515625" style="51" customWidth="1"/>
    <col min="1035" max="1035" width="1" style="51" customWidth="1"/>
    <col min="1036" max="1036" width="20" style="51" customWidth="1"/>
    <col min="1037" max="1037" width="2.85546875" style="51" customWidth="1"/>
    <col min="1038" max="1038" width="5.5703125" style="51" customWidth="1"/>
    <col min="1039" max="1039" width="4.5703125" style="51" customWidth="1"/>
    <col min="1040" max="1040" width="5.5703125" style="51" customWidth="1"/>
    <col min="1041" max="1042" width="11" style="51" customWidth="1"/>
    <col min="1043" max="1043" width="11.28515625" style="51" customWidth="1"/>
    <col min="1044" max="1044" width="15.28515625" style="51" customWidth="1"/>
    <col min="1045" max="1045" width="0.42578125" style="51" customWidth="1"/>
    <col min="1046" max="1047" width="11.42578125" style="51"/>
    <col min="1048" max="1048" width="6.85546875" style="51" customWidth="1"/>
    <col min="1049" max="1280" width="11.42578125" style="51"/>
    <col min="1281" max="1281" width="10.140625" style="51" customWidth="1"/>
    <col min="1282" max="1282" width="20" style="51" customWidth="1"/>
    <col min="1283" max="1283" width="2.85546875" style="51" customWidth="1"/>
    <col min="1284" max="1285" width="4.5703125" style="51" customWidth="1"/>
    <col min="1286" max="1286" width="5.5703125" style="51" customWidth="1"/>
    <col min="1287" max="1289" width="11" style="51" customWidth="1"/>
    <col min="1290" max="1290" width="15.28515625" style="51" customWidth="1"/>
    <col min="1291" max="1291" width="1" style="51" customWidth="1"/>
    <col min="1292" max="1292" width="20" style="51" customWidth="1"/>
    <col min="1293" max="1293" width="2.85546875" style="51" customWidth="1"/>
    <col min="1294" max="1294" width="5.5703125" style="51" customWidth="1"/>
    <col min="1295" max="1295" width="4.5703125" style="51" customWidth="1"/>
    <col min="1296" max="1296" width="5.5703125" style="51" customWidth="1"/>
    <col min="1297" max="1298" width="11" style="51" customWidth="1"/>
    <col min="1299" max="1299" width="11.28515625" style="51" customWidth="1"/>
    <col min="1300" max="1300" width="15.28515625" style="51" customWidth="1"/>
    <col min="1301" max="1301" width="0.42578125" style="51" customWidth="1"/>
    <col min="1302" max="1303" width="11.42578125" style="51"/>
    <col min="1304" max="1304" width="6.85546875" style="51" customWidth="1"/>
    <col min="1305" max="1536" width="11.42578125" style="51"/>
    <col min="1537" max="1537" width="10.140625" style="51" customWidth="1"/>
    <col min="1538" max="1538" width="20" style="51" customWidth="1"/>
    <col min="1539" max="1539" width="2.85546875" style="51" customWidth="1"/>
    <col min="1540" max="1541" width="4.5703125" style="51" customWidth="1"/>
    <col min="1542" max="1542" width="5.5703125" style="51" customWidth="1"/>
    <col min="1543" max="1545" width="11" style="51" customWidth="1"/>
    <col min="1546" max="1546" width="15.28515625" style="51" customWidth="1"/>
    <col min="1547" max="1547" width="1" style="51" customWidth="1"/>
    <col min="1548" max="1548" width="20" style="51" customWidth="1"/>
    <col min="1549" max="1549" width="2.85546875" style="51" customWidth="1"/>
    <col min="1550" max="1550" width="5.5703125" style="51" customWidth="1"/>
    <col min="1551" max="1551" width="4.5703125" style="51" customWidth="1"/>
    <col min="1552" max="1552" width="5.5703125" style="51" customWidth="1"/>
    <col min="1553" max="1554" width="11" style="51" customWidth="1"/>
    <col min="1555" max="1555" width="11.28515625" style="51" customWidth="1"/>
    <col min="1556" max="1556" width="15.28515625" style="51" customWidth="1"/>
    <col min="1557" max="1557" width="0.42578125" style="51" customWidth="1"/>
    <col min="1558" max="1559" width="11.42578125" style="51"/>
    <col min="1560" max="1560" width="6.85546875" style="51" customWidth="1"/>
    <col min="1561" max="1792" width="11.42578125" style="51"/>
    <col min="1793" max="1793" width="10.140625" style="51" customWidth="1"/>
    <col min="1794" max="1794" width="20" style="51" customWidth="1"/>
    <col min="1795" max="1795" width="2.85546875" style="51" customWidth="1"/>
    <col min="1796" max="1797" width="4.5703125" style="51" customWidth="1"/>
    <col min="1798" max="1798" width="5.5703125" style="51" customWidth="1"/>
    <col min="1799" max="1801" width="11" style="51" customWidth="1"/>
    <col min="1802" max="1802" width="15.28515625" style="51" customWidth="1"/>
    <col min="1803" max="1803" width="1" style="51" customWidth="1"/>
    <col min="1804" max="1804" width="20" style="51" customWidth="1"/>
    <col min="1805" max="1805" width="2.85546875" style="51" customWidth="1"/>
    <col min="1806" max="1806" width="5.5703125" style="51" customWidth="1"/>
    <col min="1807" max="1807" width="4.5703125" style="51" customWidth="1"/>
    <col min="1808" max="1808" width="5.5703125" style="51" customWidth="1"/>
    <col min="1809" max="1810" width="11" style="51" customWidth="1"/>
    <col min="1811" max="1811" width="11.28515625" style="51" customWidth="1"/>
    <col min="1812" max="1812" width="15.28515625" style="51" customWidth="1"/>
    <col min="1813" max="1813" width="0.42578125" style="51" customWidth="1"/>
    <col min="1814" max="1815" width="11.42578125" style="51"/>
    <col min="1816" max="1816" width="6.85546875" style="51" customWidth="1"/>
    <col min="1817" max="2048" width="11.42578125" style="51"/>
    <col min="2049" max="2049" width="10.140625" style="51" customWidth="1"/>
    <col min="2050" max="2050" width="20" style="51" customWidth="1"/>
    <col min="2051" max="2051" width="2.85546875" style="51" customWidth="1"/>
    <col min="2052" max="2053" width="4.5703125" style="51" customWidth="1"/>
    <col min="2054" max="2054" width="5.5703125" style="51" customWidth="1"/>
    <col min="2055" max="2057" width="11" style="51" customWidth="1"/>
    <col min="2058" max="2058" width="15.28515625" style="51" customWidth="1"/>
    <col min="2059" max="2059" width="1" style="51" customWidth="1"/>
    <col min="2060" max="2060" width="20" style="51" customWidth="1"/>
    <col min="2061" max="2061" width="2.85546875" style="51" customWidth="1"/>
    <col min="2062" max="2062" width="5.5703125" style="51" customWidth="1"/>
    <col min="2063" max="2063" width="4.5703125" style="51" customWidth="1"/>
    <col min="2064" max="2064" width="5.5703125" style="51" customWidth="1"/>
    <col min="2065" max="2066" width="11" style="51" customWidth="1"/>
    <col min="2067" max="2067" width="11.28515625" style="51" customWidth="1"/>
    <col min="2068" max="2068" width="15.28515625" style="51" customWidth="1"/>
    <col min="2069" max="2069" width="0.42578125" style="51" customWidth="1"/>
    <col min="2070" max="2071" width="11.42578125" style="51"/>
    <col min="2072" max="2072" width="6.85546875" style="51" customWidth="1"/>
    <col min="2073" max="2304" width="11.42578125" style="51"/>
    <col min="2305" max="2305" width="10.140625" style="51" customWidth="1"/>
    <col min="2306" max="2306" width="20" style="51" customWidth="1"/>
    <col min="2307" max="2307" width="2.85546875" style="51" customWidth="1"/>
    <col min="2308" max="2309" width="4.5703125" style="51" customWidth="1"/>
    <col min="2310" max="2310" width="5.5703125" style="51" customWidth="1"/>
    <col min="2311" max="2313" width="11" style="51" customWidth="1"/>
    <col min="2314" max="2314" width="15.28515625" style="51" customWidth="1"/>
    <col min="2315" max="2315" width="1" style="51" customWidth="1"/>
    <col min="2316" max="2316" width="20" style="51" customWidth="1"/>
    <col min="2317" max="2317" width="2.85546875" style="51" customWidth="1"/>
    <col min="2318" max="2318" width="5.5703125" style="51" customWidth="1"/>
    <col min="2319" max="2319" width="4.5703125" style="51" customWidth="1"/>
    <col min="2320" max="2320" width="5.5703125" style="51" customWidth="1"/>
    <col min="2321" max="2322" width="11" style="51" customWidth="1"/>
    <col min="2323" max="2323" width="11.28515625" style="51" customWidth="1"/>
    <col min="2324" max="2324" width="15.28515625" style="51" customWidth="1"/>
    <col min="2325" max="2325" width="0.42578125" style="51" customWidth="1"/>
    <col min="2326" max="2327" width="11.42578125" style="51"/>
    <col min="2328" max="2328" width="6.85546875" style="51" customWidth="1"/>
    <col min="2329" max="2560" width="11.42578125" style="51"/>
    <col min="2561" max="2561" width="10.140625" style="51" customWidth="1"/>
    <col min="2562" max="2562" width="20" style="51" customWidth="1"/>
    <col min="2563" max="2563" width="2.85546875" style="51" customWidth="1"/>
    <col min="2564" max="2565" width="4.5703125" style="51" customWidth="1"/>
    <col min="2566" max="2566" width="5.5703125" style="51" customWidth="1"/>
    <col min="2567" max="2569" width="11" style="51" customWidth="1"/>
    <col min="2570" max="2570" width="15.28515625" style="51" customWidth="1"/>
    <col min="2571" max="2571" width="1" style="51" customWidth="1"/>
    <col min="2572" max="2572" width="20" style="51" customWidth="1"/>
    <col min="2573" max="2573" width="2.85546875" style="51" customWidth="1"/>
    <col min="2574" max="2574" width="5.5703125" style="51" customWidth="1"/>
    <col min="2575" max="2575" width="4.5703125" style="51" customWidth="1"/>
    <col min="2576" max="2576" width="5.5703125" style="51" customWidth="1"/>
    <col min="2577" max="2578" width="11" style="51" customWidth="1"/>
    <col min="2579" max="2579" width="11.28515625" style="51" customWidth="1"/>
    <col min="2580" max="2580" width="15.28515625" style="51" customWidth="1"/>
    <col min="2581" max="2581" width="0.42578125" style="51" customWidth="1"/>
    <col min="2582" max="2583" width="11.42578125" style="51"/>
    <col min="2584" max="2584" width="6.85546875" style="51" customWidth="1"/>
    <col min="2585" max="2816" width="11.42578125" style="51"/>
    <col min="2817" max="2817" width="10.140625" style="51" customWidth="1"/>
    <col min="2818" max="2818" width="20" style="51" customWidth="1"/>
    <col min="2819" max="2819" width="2.85546875" style="51" customWidth="1"/>
    <col min="2820" max="2821" width="4.5703125" style="51" customWidth="1"/>
    <col min="2822" max="2822" width="5.5703125" style="51" customWidth="1"/>
    <col min="2823" max="2825" width="11" style="51" customWidth="1"/>
    <col min="2826" max="2826" width="15.28515625" style="51" customWidth="1"/>
    <col min="2827" max="2827" width="1" style="51" customWidth="1"/>
    <col min="2828" max="2828" width="20" style="51" customWidth="1"/>
    <col min="2829" max="2829" width="2.85546875" style="51" customWidth="1"/>
    <col min="2830" max="2830" width="5.5703125" style="51" customWidth="1"/>
    <col min="2831" max="2831" width="4.5703125" style="51" customWidth="1"/>
    <col min="2832" max="2832" width="5.5703125" style="51" customWidth="1"/>
    <col min="2833" max="2834" width="11" style="51" customWidth="1"/>
    <col min="2835" max="2835" width="11.28515625" style="51" customWidth="1"/>
    <col min="2836" max="2836" width="15.28515625" style="51" customWidth="1"/>
    <col min="2837" max="2837" width="0.42578125" style="51" customWidth="1"/>
    <col min="2838" max="2839" width="11.42578125" style="51"/>
    <col min="2840" max="2840" width="6.85546875" style="51" customWidth="1"/>
    <col min="2841" max="3072" width="11.42578125" style="51"/>
    <col min="3073" max="3073" width="10.140625" style="51" customWidth="1"/>
    <col min="3074" max="3074" width="20" style="51" customWidth="1"/>
    <col min="3075" max="3075" width="2.85546875" style="51" customWidth="1"/>
    <col min="3076" max="3077" width="4.5703125" style="51" customWidth="1"/>
    <col min="3078" max="3078" width="5.5703125" style="51" customWidth="1"/>
    <col min="3079" max="3081" width="11" style="51" customWidth="1"/>
    <col min="3082" max="3082" width="15.28515625" style="51" customWidth="1"/>
    <col min="3083" max="3083" width="1" style="51" customWidth="1"/>
    <col min="3084" max="3084" width="20" style="51" customWidth="1"/>
    <col min="3085" max="3085" width="2.85546875" style="51" customWidth="1"/>
    <col min="3086" max="3086" width="5.5703125" style="51" customWidth="1"/>
    <col min="3087" max="3087" width="4.5703125" style="51" customWidth="1"/>
    <col min="3088" max="3088" width="5.5703125" style="51" customWidth="1"/>
    <col min="3089" max="3090" width="11" style="51" customWidth="1"/>
    <col min="3091" max="3091" width="11.28515625" style="51" customWidth="1"/>
    <col min="3092" max="3092" width="15.28515625" style="51" customWidth="1"/>
    <col min="3093" max="3093" width="0.42578125" style="51" customWidth="1"/>
    <col min="3094" max="3095" width="11.42578125" style="51"/>
    <col min="3096" max="3096" width="6.85546875" style="51" customWidth="1"/>
    <col min="3097" max="3328" width="11.42578125" style="51"/>
    <col min="3329" max="3329" width="10.140625" style="51" customWidth="1"/>
    <col min="3330" max="3330" width="20" style="51" customWidth="1"/>
    <col min="3331" max="3331" width="2.85546875" style="51" customWidth="1"/>
    <col min="3332" max="3333" width="4.5703125" style="51" customWidth="1"/>
    <col min="3334" max="3334" width="5.5703125" style="51" customWidth="1"/>
    <col min="3335" max="3337" width="11" style="51" customWidth="1"/>
    <col min="3338" max="3338" width="15.28515625" style="51" customWidth="1"/>
    <col min="3339" max="3339" width="1" style="51" customWidth="1"/>
    <col min="3340" max="3340" width="20" style="51" customWidth="1"/>
    <col min="3341" max="3341" width="2.85546875" style="51" customWidth="1"/>
    <col min="3342" max="3342" width="5.5703125" style="51" customWidth="1"/>
    <col min="3343" max="3343" width="4.5703125" style="51" customWidth="1"/>
    <col min="3344" max="3344" width="5.5703125" style="51" customWidth="1"/>
    <col min="3345" max="3346" width="11" style="51" customWidth="1"/>
    <col min="3347" max="3347" width="11.28515625" style="51" customWidth="1"/>
    <col min="3348" max="3348" width="15.28515625" style="51" customWidth="1"/>
    <col min="3349" max="3349" width="0.42578125" style="51" customWidth="1"/>
    <col min="3350" max="3351" width="11.42578125" style="51"/>
    <col min="3352" max="3352" width="6.85546875" style="51" customWidth="1"/>
    <col min="3353" max="3584" width="11.42578125" style="51"/>
    <col min="3585" max="3585" width="10.140625" style="51" customWidth="1"/>
    <col min="3586" max="3586" width="20" style="51" customWidth="1"/>
    <col min="3587" max="3587" width="2.85546875" style="51" customWidth="1"/>
    <col min="3588" max="3589" width="4.5703125" style="51" customWidth="1"/>
    <col min="3590" max="3590" width="5.5703125" style="51" customWidth="1"/>
    <col min="3591" max="3593" width="11" style="51" customWidth="1"/>
    <col min="3594" max="3594" width="15.28515625" style="51" customWidth="1"/>
    <col min="3595" max="3595" width="1" style="51" customWidth="1"/>
    <col min="3596" max="3596" width="20" style="51" customWidth="1"/>
    <col min="3597" max="3597" width="2.85546875" style="51" customWidth="1"/>
    <col min="3598" max="3598" width="5.5703125" style="51" customWidth="1"/>
    <col min="3599" max="3599" width="4.5703125" style="51" customWidth="1"/>
    <col min="3600" max="3600" width="5.5703125" style="51" customWidth="1"/>
    <col min="3601" max="3602" width="11" style="51" customWidth="1"/>
    <col min="3603" max="3603" width="11.28515625" style="51" customWidth="1"/>
    <col min="3604" max="3604" width="15.28515625" style="51" customWidth="1"/>
    <col min="3605" max="3605" width="0.42578125" style="51" customWidth="1"/>
    <col min="3606" max="3607" width="11.42578125" style="51"/>
    <col min="3608" max="3608" width="6.85546875" style="51" customWidth="1"/>
    <col min="3609" max="3840" width="11.42578125" style="51"/>
    <col min="3841" max="3841" width="10.140625" style="51" customWidth="1"/>
    <col min="3842" max="3842" width="20" style="51" customWidth="1"/>
    <col min="3843" max="3843" width="2.85546875" style="51" customWidth="1"/>
    <col min="3844" max="3845" width="4.5703125" style="51" customWidth="1"/>
    <col min="3846" max="3846" width="5.5703125" style="51" customWidth="1"/>
    <col min="3847" max="3849" width="11" style="51" customWidth="1"/>
    <col min="3850" max="3850" width="15.28515625" style="51" customWidth="1"/>
    <col min="3851" max="3851" width="1" style="51" customWidth="1"/>
    <col min="3852" max="3852" width="20" style="51" customWidth="1"/>
    <col min="3853" max="3853" width="2.85546875" style="51" customWidth="1"/>
    <col min="3854" max="3854" width="5.5703125" style="51" customWidth="1"/>
    <col min="3855" max="3855" width="4.5703125" style="51" customWidth="1"/>
    <col min="3856" max="3856" width="5.5703125" style="51" customWidth="1"/>
    <col min="3857" max="3858" width="11" style="51" customWidth="1"/>
    <col min="3859" max="3859" width="11.28515625" style="51" customWidth="1"/>
    <col min="3860" max="3860" width="15.28515625" style="51" customWidth="1"/>
    <col min="3861" max="3861" width="0.42578125" style="51" customWidth="1"/>
    <col min="3862" max="3863" width="11.42578125" style="51"/>
    <col min="3864" max="3864" width="6.85546875" style="51" customWidth="1"/>
    <col min="3865" max="4096" width="11.42578125" style="51"/>
    <col min="4097" max="4097" width="10.140625" style="51" customWidth="1"/>
    <col min="4098" max="4098" width="20" style="51" customWidth="1"/>
    <col min="4099" max="4099" width="2.85546875" style="51" customWidth="1"/>
    <col min="4100" max="4101" width="4.5703125" style="51" customWidth="1"/>
    <col min="4102" max="4102" width="5.5703125" style="51" customWidth="1"/>
    <col min="4103" max="4105" width="11" style="51" customWidth="1"/>
    <col min="4106" max="4106" width="15.28515625" style="51" customWidth="1"/>
    <col min="4107" max="4107" width="1" style="51" customWidth="1"/>
    <col min="4108" max="4108" width="20" style="51" customWidth="1"/>
    <col min="4109" max="4109" width="2.85546875" style="51" customWidth="1"/>
    <col min="4110" max="4110" width="5.5703125" style="51" customWidth="1"/>
    <col min="4111" max="4111" width="4.5703125" style="51" customWidth="1"/>
    <col min="4112" max="4112" width="5.5703125" style="51" customWidth="1"/>
    <col min="4113" max="4114" width="11" style="51" customWidth="1"/>
    <col min="4115" max="4115" width="11.28515625" style="51" customWidth="1"/>
    <col min="4116" max="4116" width="15.28515625" style="51" customWidth="1"/>
    <col min="4117" max="4117" width="0.42578125" style="51" customWidth="1"/>
    <col min="4118" max="4119" width="11.42578125" style="51"/>
    <col min="4120" max="4120" width="6.85546875" style="51" customWidth="1"/>
    <col min="4121" max="4352" width="11.42578125" style="51"/>
    <col min="4353" max="4353" width="10.140625" style="51" customWidth="1"/>
    <col min="4354" max="4354" width="20" style="51" customWidth="1"/>
    <col min="4355" max="4355" width="2.85546875" style="51" customWidth="1"/>
    <col min="4356" max="4357" width="4.5703125" style="51" customWidth="1"/>
    <col min="4358" max="4358" width="5.5703125" style="51" customWidth="1"/>
    <col min="4359" max="4361" width="11" style="51" customWidth="1"/>
    <col min="4362" max="4362" width="15.28515625" style="51" customWidth="1"/>
    <col min="4363" max="4363" width="1" style="51" customWidth="1"/>
    <col min="4364" max="4364" width="20" style="51" customWidth="1"/>
    <col min="4365" max="4365" width="2.85546875" style="51" customWidth="1"/>
    <col min="4366" max="4366" width="5.5703125" style="51" customWidth="1"/>
    <col min="4367" max="4367" width="4.5703125" style="51" customWidth="1"/>
    <col min="4368" max="4368" width="5.5703125" style="51" customWidth="1"/>
    <col min="4369" max="4370" width="11" style="51" customWidth="1"/>
    <col min="4371" max="4371" width="11.28515625" style="51" customWidth="1"/>
    <col min="4372" max="4372" width="15.28515625" style="51" customWidth="1"/>
    <col min="4373" max="4373" width="0.42578125" style="51" customWidth="1"/>
    <col min="4374" max="4375" width="11.42578125" style="51"/>
    <col min="4376" max="4376" width="6.85546875" style="51" customWidth="1"/>
    <col min="4377" max="4608" width="11.42578125" style="51"/>
    <col min="4609" max="4609" width="10.140625" style="51" customWidth="1"/>
    <col min="4610" max="4610" width="20" style="51" customWidth="1"/>
    <col min="4611" max="4611" width="2.85546875" style="51" customWidth="1"/>
    <col min="4612" max="4613" width="4.5703125" style="51" customWidth="1"/>
    <col min="4614" max="4614" width="5.5703125" style="51" customWidth="1"/>
    <col min="4615" max="4617" width="11" style="51" customWidth="1"/>
    <col min="4618" max="4618" width="15.28515625" style="51" customWidth="1"/>
    <col min="4619" max="4619" width="1" style="51" customWidth="1"/>
    <col min="4620" max="4620" width="20" style="51" customWidth="1"/>
    <col min="4621" max="4621" width="2.85546875" style="51" customWidth="1"/>
    <col min="4622" max="4622" width="5.5703125" style="51" customWidth="1"/>
    <col min="4623" max="4623" width="4.5703125" style="51" customWidth="1"/>
    <col min="4624" max="4624" width="5.5703125" style="51" customWidth="1"/>
    <col min="4625" max="4626" width="11" style="51" customWidth="1"/>
    <col min="4627" max="4627" width="11.28515625" style="51" customWidth="1"/>
    <col min="4628" max="4628" width="15.28515625" style="51" customWidth="1"/>
    <col min="4629" max="4629" width="0.42578125" style="51" customWidth="1"/>
    <col min="4630" max="4631" width="11.42578125" style="51"/>
    <col min="4632" max="4632" width="6.85546875" style="51" customWidth="1"/>
    <col min="4633" max="4864" width="11.42578125" style="51"/>
    <col min="4865" max="4865" width="10.140625" style="51" customWidth="1"/>
    <col min="4866" max="4866" width="20" style="51" customWidth="1"/>
    <col min="4867" max="4867" width="2.85546875" style="51" customWidth="1"/>
    <col min="4868" max="4869" width="4.5703125" style="51" customWidth="1"/>
    <col min="4870" max="4870" width="5.5703125" style="51" customWidth="1"/>
    <col min="4871" max="4873" width="11" style="51" customWidth="1"/>
    <col min="4874" max="4874" width="15.28515625" style="51" customWidth="1"/>
    <col min="4875" max="4875" width="1" style="51" customWidth="1"/>
    <col min="4876" max="4876" width="20" style="51" customWidth="1"/>
    <col min="4877" max="4877" width="2.85546875" style="51" customWidth="1"/>
    <col min="4878" max="4878" width="5.5703125" style="51" customWidth="1"/>
    <col min="4879" max="4879" width="4.5703125" style="51" customWidth="1"/>
    <col min="4880" max="4880" width="5.5703125" style="51" customWidth="1"/>
    <col min="4881" max="4882" width="11" style="51" customWidth="1"/>
    <col min="4883" max="4883" width="11.28515625" style="51" customWidth="1"/>
    <col min="4884" max="4884" width="15.28515625" style="51" customWidth="1"/>
    <col min="4885" max="4885" width="0.42578125" style="51" customWidth="1"/>
    <col min="4886" max="4887" width="11.42578125" style="51"/>
    <col min="4888" max="4888" width="6.85546875" style="51" customWidth="1"/>
    <col min="4889" max="5120" width="11.42578125" style="51"/>
    <col min="5121" max="5121" width="10.140625" style="51" customWidth="1"/>
    <col min="5122" max="5122" width="20" style="51" customWidth="1"/>
    <col min="5123" max="5123" width="2.85546875" style="51" customWidth="1"/>
    <col min="5124" max="5125" width="4.5703125" style="51" customWidth="1"/>
    <col min="5126" max="5126" width="5.5703125" style="51" customWidth="1"/>
    <col min="5127" max="5129" width="11" style="51" customWidth="1"/>
    <col min="5130" max="5130" width="15.28515625" style="51" customWidth="1"/>
    <col min="5131" max="5131" width="1" style="51" customWidth="1"/>
    <col min="5132" max="5132" width="20" style="51" customWidth="1"/>
    <col min="5133" max="5133" width="2.85546875" style="51" customWidth="1"/>
    <col min="5134" max="5134" width="5.5703125" style="51" customWidth="1"/>
    <col min="5135" max="5135" width="4.5703125" style="51" customWidth="1"/>
    <col min="5136" max="5136" width="5.5703125" style="51" customWidth="1"/>
    <col min="5137" max="5138" width="11" style="51" customWidth="1"/>
    <col min="5139" max="5139" width="11.28515625" style="51" customWidth="1"/>
    <col min="5140" max="5140" width="15.28515625" style="51" customWidth="1"/>
    <col min="5141" max="5141" width="0.42578125" style="51" customWidth="1"/>
    <col min="5142" max="5143" width="11.42578125" style="51"/>
    <col min="5144" max="5144" width="6.85546875" style="51" customWidth="1"/>
    <col min="5145" max="5376" width="11.42578125" style="51"/>
    <col min="5377" max="5377" width="10.140625" style="51" customWidth="1"/>
    <col min="5378" max="5378" width="20" style="51" customWidth="1"/>
    <col min="5379" max="5379" width="2.85546875" style="51" customWidth="1"/>
    <col min="5380" max="5381" width="4.5703125" style="51" customWidth="1"/>
    <col min="5382" max="5382" width="5.5703125" style="51" customWidth="1"/>
    <col min="5383" max="5385" width="11" style="51" customWidth="1"/>
    <col min="5386" max="5386" width="15.28515625" style="51" customWidth="1"/>
    <col min="5387" max="5387" width="1" style="51" customWidth="1"/>
    <col min="5388" max="5388" width="20" style="51" customWidth="1"/>
    <col min="5389" max="5389" width="2.85546875" style="51" customWidth="1"/>
    <col min="5390" max="5390" width="5.5703125" style="51" customWidth="1"/>
    <col min="5391" max="5391" width="4.5703125" style="51" customWidth="1"/>
    <col min="5392" max="5392" width="5.5703125" style="51" customWidth="1"/>
    <col min="5393" max="5394" width="11" style="51" customWidth="1"/>
    <col min="5395" max="5395" width="11.28515625" style="51" customWidth="1"/>
    <col min="5396" max="5396" width="15.28515625" style="51" customWidth="1"/>
    <col min="5397" max="5397" width="0.42578125" style="51" customWidth="1"/>
    <col min="5398" max="5399" width="11.42578125" style="51"/>
    <col min="5400" max="5400" width="6.85546875" style="51" customWidth="1"/>
    <col min="5401" max="5632" width="11.42578125" style="51"/>
    <col min="5633" max="5633" width="10.140625" style="51" customWidth="1"/>
    <col min="5634" max="5634" width="20" style="51" customWidth="1"/>
    <col min="5635" max="5635" width="2.85546875" style="51" customWidth="1"/>
    <col min="5636" max="5637" width="4.5703125" style="51" customWidth="1"/>
    <col min="5638" max="5638" width="5.5703125" style="51" customWidth="1"/>
    <col min="5639" max="5641" width="11" style="51" customWidth="1"/>
    <col min="5642" max="5642" width="15.28515625" style="51" customWidth="1"/>
    <col min="5643" max="5643" width="1" style="51" customWidth="1"/>
    <col min="5644" max="5644" width="20" style="51" customWidth="1"/>
    <col min="5645" max="5645" width="2.85546875" style="51" customWidth="1"/>
    <col min="5646" max="5646" width="5.5703125" style="51" customWidth="1"/>
    <col min="5647" max="5647" width="4.5703125" style="51" customWidth="1"/>
    <col min="5648" max="5648" width="5.5703125" style="51" customWidth="1"/>
    <col min="5649" max="5650" width="11" style="51" customWidth="1"/>
    <col min="5651" max="5651" width="11.28515625" style="51" customWidth="1"/>
    <col min="5652" max="5652" width="15.28515625" style="51" customWidth="1"/>
    <col min="5653" max="5653" width="0.42578125" style="51" customWidth="1"/>
    <col min="5654" max="5655" width="11.42578125" style="51"/>
    <col min="5656" max="5656" width="6.85546875" style="51" customWidth="1"/>
    <col min="5657" max="5888" width="11.42578125" style="51"/>
    <col min="5889" max="5889" width="10.140625" style="51" customWidth="1"/>
    <col min="5890" max="5890" width="20" style="51" customWidth="1"/>
    <col min="5891" max="5891" width="2.85546875" style="51" customWidth="1"/>
    <col min="5892" max="5893" width="4.5703125" style="51" customWidth="1"/>
    <col min="5894" max="5894" width="5.5703125" style="51" customWidth="1"/>
    <col min="5895" max="5897" width="11" style="51" customWidth="1"/>
    <col min="5898" max="5898" width="15.28515625" style="51" customWidth="1"/>
    <col min="5899" max="5899" width="1" style="51" customWidth="1"/>
    <col min="5900" max="5900" width="20" style="51" customWidth="1"/>
    <col min="5901" max="5901" width="2.85546875" style="51" customWidth="1"/>
    <col min="5902" max="5902" width="5.5703125" style="51" customWidth="1"/>
    <col min="5903" max="5903" width="4.5703125" style="51" customWidth="1"/>
    <col min="5904" max="5904" width="5.5703125" style="51" customWidth="1"/>
    <col min="5905" max="5906" width="11" style="51" customWidth="1"/>
    <col min="5907" max="5907" width="11.28515625" style="51" customWidth="1"/>
    <col min="5908" max="5908" width="15.28515625" style="51" customWidth="1"/>
    <col min="5909" max="5909" width="0.42578125" style="51" customWidth="1"/>
    <col min="5910" max="5911" width="11.42578125" style="51"/>
    <col min="5912" max="5912" width="6.85546875" style="51" customWidth="1"/>
    <col min="5913" max="6144" width="11.42578125" style="51"/>
    <col min="6145" max="6145" width="10.140625" style="51" customWidth="1"/>
    <col min="6146" max="6146" width="20" style="51" customWidth="1"/>
    <col min="6147" max="6147" width="2.85546875" style="51" customWidth="1"/>
    <col min="6148" max="6149" width="4.5703125" style="51" customWidth="1"/>
    <col min="6150" max="6150" width="5.5703125" style="51" customWidth="1"/>
    <col min="6151" max="6153" width="11" style="51" customWidth="1"/>
    <col min="6154" max="6154" width="15.28515625" style="51" customWidth="1"/>
    <col min="6155" max="6155" width="1" style="51" customWidth="1"/>
    <col min="6156" max="6156" width="20" style="51" customWidth="1"/>
    <col min="6157" max="6157" width="2.85546875" style="51" customWidth="1"/>
    <col min="6158" max="6158" width="5.5703125" style="51" customWidth="1"/>
    <col min="6159" max="6159" width="4.5703125" style="51" customWidth="1"/>
    <col min="6160" max="6160" width="5.5703125" style="51" customWidth="1"/>
    <col min="6161" max="6162" width="11" style="51" customWidth="1"/>
    <col min="6163" max="6163" width="11.28515625" style="51" customWidth="1"/>
    <col min="6164" max="6164" width="15.28515625" style="51" customWidth="1"/>
    <col min="6165" max="6165" width="0.42578125" style="51" customWidth="1"/>
    <col min="6166" max="6167" width="11.42578125" style="51"/>
    <col min="6168" max="6168" width="6.85546875" style="51" customWidth="1"/>
    <col min="6169" max="6400" width="11.42578125" style="51"/>
    <col min="6401" max="6401" width="10.140625" style="51" customWidth="1"/>
    <col min="6402" max="6402" width="20" style="51" customWidth="1"/>
    <col min="6403" max="6403" width="2.85546875" style="51" customWidth="1"/>
    <col min="6404" max="6405" width="4.5703125" style="51" customWidth="1"/>
    <col min="6406" max="6406" width="5.5703125" style="51" customWidth="1"/>
    <col min="6407" max="6409" width="11" style="51" customWidth="1"/>
    <col min="6410" max="6410" width="15.28515625" style="51" customWidth="1"/>
    <col min="6411" max="6411" width="1" style="51" customWidth="1"/>
    <col min="6412" max="6412" width="20" style="51" customWidth="1"/>
    <col min="6413" max="6413" width="2.85546875" style="51" customWidth="1"/>
    <col min="6414" max="6414" width="5.5703125" style="51" customWidth="1"/>
    <col min="6415" max="6415" width="4.5703125" style="51" customWidth="1"/>
    <col min="6416" max="6416" width="5.5703125" style="51" customWidth="1"/>
    <col min="6417" max="6418" width="11" style="51" customWidth="1"/>
    <col min="6419" max="6419" width="11.28515625" style="51" customWidth="1"/>
    <col min="6420" max="6420" width="15.28515625" style="51" customWidth="1"/>
    <col min="6421" max="6421" width="0.42578125" style="51" customWidth="1"/>
    <col min="6422" max="6423" width="11.42578125" style="51"/>
    <col min="6424" max="6424" width="6.85546875" style="51" customWidth="1"/>
    <col min="6425" max="6656" width="11.42578125" style="51"/>
    <col min="6657" max="6657" width="10.140625" style="51" customWidth="1"/>
    <col min="6658" max="6658" width="20" style="51" customWidth="1"/>
    <col min="6659" max="6659" width="2.85546875" style="51" customWidth="1"/>
    <col min="6660" max="6661" width="4.5703125" style="51" customWidth="1"/>
    <col min="6662" max="6662" width="5.5703125" style="51" customWidth="1"/>
    <col min="6663" max="6665" width="11" style="51" customWidth="1"/>
    <col min="6666" max="6666" width="15.28515625" style="51" customWidth="1"/>
    <col min="6667" max="6667" width="1" style="51" customWidth="1"/>
    <col min="6668" max="6668" width="20" style="51" customWidth="1"/>
    <col min="6669" max="6669" width="2.85546875" style="51" customWidth="1"/>
    <col min="6670" max="6670" width="5.5703125" style="51" customWidth="1"/>
    <col min="6671" max="6671" width="4.5703125" style="51" customWidth="1"/>
    <col min="6672" max="6672" width="5.5703125" style="51" customWidth="1"/>
    <col min="6673" max="6674" width="11" style="51" customWidth="1"/>
    <col min="6675" max="6675" width="11.28515625" style="51" customWidth="1"/>
    <col min="6676" max="6676" width="15.28515625" style="51" customWidth="1"/>
    <col min="6677" max="6677" width="0.42578125" style="51" customWidth="1"/>
    <col min="6678" max="6679" width="11.42578125" style="51"/>
    <col min="6680" max="6680" width="6.85546875" style="51" customWidth="1"/>
    <col min="6681" max="6912" width="11.42578125" style="51"/>
    <col min="6913" max="6913" width="10.140625" style="51" customWidth="1"/>
    <col min="6914" max="6914" width="20" style="51" customWidth="1"/>
    <col min="6915" max="6915" width="2.85546875" style="51" customWidth="1"/>
    <col min="6916" max="6917" width="4.5703125" style="51" customWidth="1"/>
    <col min="6918" max="6918" width="5.5703125" style="51" customWidth="1"/>
    <col min="6919" max="6921" width="11" style="51" customWidth="1"/>
    <col min="6922" max="6922" width="15.28515625" style="51" customWidth="1"/>
    <col min="6923" max="6923" width="1" style="51" customWidth="1"/>
    <col min="6924" max="6924" width="20" style="51" customWidth="1"/>
    <col min="6925" max="6925" width="2.85546875" style="51" customWidth="1"/>
    <col min="6926" max="6926" width="5.5703125" style="51" customWidth="1"/>
    <col min="6927" max="6927" width="4.5703125" style="51" customWidth="1"/>
    <col min="6928" max="6928" width="5.5703125" style="51" customWidth="1"/>
    <col min="6929" max="6930" width="11" style="51" customWidth="1"/>
    <col min="6931" max="6931" width="11.28515625" style="51" customWidth="1"/>
    <col min="6932" max="6932" width="15.28515625" style="51" customWidth="1"/>
    <col min="6933" max="6933" width="0.42578125" style="51" customWidth="1"/>
    <col min="6934" max="6935" width="11.42578125" style="51"/>
    <col min="6936" max="6936" width="6.85546875" style="51" customWidth="1"/>
    <col min="6937" max="7168" width="11.42578125" style="51"/>
    <col min="7169" max="7169" width="10.140625" style="51" customWidth="1"/>
    <col min="7170" max="7170" width="20" style="51" customWidth="1"/>
    <col min="7171" max="7171" width="2.85546875" style="51" customWidth="1"/>
    <col min="7172" max="7173" width="4.5703125" style="51" customWidth="1"/>
    <col min="7174" max="7174" width="5.5703125" style="51" customWidth="1"/>
    <col min="7175" max="7177" width="11" style="51" customWidth="1"/>
    <col min="7178" max="7178" width="15.28515625" style="51" customWidth="1"/>
    <col min="7179" max="7179" width="1" style="51" customWidth="1"/>
    <col min="7180" max="7180" width="20" style="51" customWidth="1"/>
    <col min="7181" max="7181" width="2.85546875" style="51" customWidth="1"/>
    <col min="7182" max="7182" width="5.5703125" style="51" customWidth="1"/>
    <col min="7183" max="7183" width="4.5703125" style="51" customWidth="1"/>
    <col min="7184" max="7184" width="5.5703125" style="51" customWidth="1"/>
    <col min="7185" max="7186" width="11" style="51" customWidth="1"/>
    <col min="7187" max="7187" width="11.28515625" style="51" customWidth="1"/>
    <col min="7188" max="7188" width="15.28515625" style="51" customWidth="1"/>
    <col min="7189" max="7189" width="0.42578125" style="51" customWidth="1"/>
    <col min="7190" max="7191" width="11.42578125" style="51"/>
    <col min="7192" max="7192" width="6.85546875" style="51" customWidth="1"/>
    <col min="7193" max="7424" width="11.42578125" style="51"/>
    <col min="7425" max="7425" width="10.140625" style="51" customWidth="1"/>
    <col min="7426" max="7426" width="20" style="51" customWidth="1"/>
    <col min="7427" max="7427" width="2.85546875" style="51" customWidth="1"/>
    <col min="7428" max="7429" width="4.5703125" style="51" customWidth="1"/>
    <col min="7430" max="7430" width="5.5703125" style="51" customWidth="1"/>
    <col min="7431" max="7433" width="11" style="51" customWidth="1"/>
    <col min="7434" max="7434" width="15.28515625" style="51" customWidth="1"/>
    <col min="7435" max="7435" width="1" style="51" customWidth="1"/>
    <col min="7436" max="7436" width="20" style="51" customWidth="1"/>
    <col min="7437" max="7437" width="2.85546875" style="51" customWidth="1"/>
    <col min="7438" max="7438" width="5.5703125" style="51" customWidth="1"/>
    <col min="7439" max="7439" width="4.5703125" style="51" customWidth="1"/>
    <col min="7440" max="7440" width="5.5703125" style="51" customWidth="1"/>
    <col min="7441" max="7442" width="11" style="51" customWidth="1"/>
    <col min="7443" max="7443" width="11.28515625" style="51" customWidth="1"/>
    <col min="7444" max="7444" width="15.28515625" style="51" customWidth="1"/>
    <col min="7445" max="7445" width="0.42578125" style="51" customWidth="1"/>
    <col min="7446" max="7447" width="11.42578125" style="51"/>
    <col min="7448" max="7448" width="6.85546875" style="51" customWidth="1"/>
    <col min="7449" max="7680" width="11.42578125" style="51"/>
    <col min="7681" max="7681" width="10.140625" style="51" customWidth="1"/>
    <col min="7682" max="7682" width="20" style="51" customWidth="1"/>
    <col min="7683" max="7683" width="2.85546875" style="51" customWidth="1"/>
    <col min="7684" max="7685" width="4.5703125" style="51" customWidth="1"/>
    <col min="7686" max="7686" width="5.5703125" style="51" customWidth="1"/>
    <col min="7687" max="7689" width="11" style="51" customWidth="1"/>
    <col min="7690" max="7690" width="15.28515625" style="51" customWidth="1"/>
    <col min="7691" max="7691" width="1" style="51" customWidth="1"/>
    <col min="7692" max="7692" width="20" style="51" customWidth="1"/>
    <col min="7693" max="7693" width="2.85546875" style="51" customWidth="1"/>
    <col min="7694" max="7694" width="5.5703125" style="51" customWidth="1"/>
    <col min="7695" max="7695" width="4.5703125" style="51" customWidth="1"/>
    <col min="7696" max="7696" width="5.5703125" style="51" customWidth="1"/>
    <col min="7697" max="7698" width="11" style="51" customWidth="1"/>
    <col min="7699" max="7699" width="11.28515625" style="51" customWidth="1"/>
    <col min="7700" max="7700" width="15.28515625" style="51" customWidth="1"/>
    <col min="7701" max="7701" width="0.42578125" style="51" customWidth="1"/>
    <col min="7702" max="7703" width="11.42578125" style="51"/>
    <col min="7704" max="7704" width="6.85546875" style="51" customWidth="1"/>
    <col min="7705" max="7936" width="11.42578125" style="51"/>
    <col min="7937" max="7937" width="10.140625" style="51" customWidth="1"/>
    <col min="7938" max="7938" width="20" style="51" customWidth="1"/>
    <col min="7939" max="7939" width="2.85546875" style="51" customWidth="1"/>
    <col min="7940" max="7941" width="4.5703125" style="51" customWidth="1"/>
    <col min="7942" max="7942" width="5.5703125" style="51" customWidth="1"/>
    <col min="7943" max="7945" width="11" style="51" customWidth="1"/>
    <col min="7946" max="7946" width="15.28515625" style="51" customWidth="1"/>
    <col min="7947" max="7947" width="1" style="51" customWidth="1"/>
    <col min="7948" max="7948" width="20" style="51" customWidth="1"/>
    <col min="7949" max="7949" width="2.85546875" style="51" customWidth="1"/>
    <col min="7950" max="7950" width="5.5703125" style="51" customWidth="1"/>
    <col min="7951" max="7951" width="4.5703125" style="51" customWidth="1"/>
    <col min="7952" max="7952" width="5.5703125" style="51" customWidth="1"/>
    <col min="7953" max="7954" width="11" style="51" customWidth="1"/>
    <col min="7955" max="7955" width="11.28515625" style="51" customWidth="1"/>
    <col min="7956" max="7956" width="15.28515625" style="51" customWidth="1"/>
    <col min="7957" max="7957" width="0.42578125" style="51" customWidth="1"/>
    <col min="7958" max="7959" width="11.42578125" style="51"/>
    <col min="7960" max="7960" width="6.85546875" style="51" customWidth="1"/>
    <col min="7961" max="8192" width="11.42578125" style="51"/>
    <col min="8193" max="8193" width="10.140625" style="51" customWidth="1"/>
    <col min="8194" max="8194" width="20" style="51" customWidth="1"/>
    <col min="8195" max="8195" width="2.85546875" style="51" customWidth="1"/>
    <col min="8196" max="8197" width="4.5703125" style="51" customWidth="1"/>
    <col min="8198" max="8198" width="5.5703125" style="51" customWidth="1"/>
    <col min="8199" max="8201" width="11" style="51" customWidth="1"/>
    <col min="8202" max="8202" width="15.28515625" style="51" customWidth="1"/>
    <col min="8203" max="8203" width="1" style="51" customWidth="1"/>
    <col min="8204" max="8204" width="20" style="51" customWidth="1"/>
    <col min="8205" max="8205" width="2.85546875" style="51" customWidth="1"/>
    <col min="8206" max="8206" width="5.5703125" style="51" customWidth="1"/>
    <col min="8207" max="8207" width="4.5703125" style="51" customWidth="1"/>
    <col min="8208" max="8208" width="5.5703125" style="51" customWidth="1"/>
    <col min="8209" max="8210" width="11" style="51" customWidth="1"/>
    <col min="8211" max="8211" width="11.28515625" style="51" customWidth="1"/>
    <col min="8212" max="8212" width="15.28515625" style="51" customWidth="1"/>
    <col min="8213" max="8213" width="0.42578125" style="51" customWidth="1"/>
    <col min="8214" max="8215" width="11.42578125" style="51"/>
    <col min="8216" max="8216" width="6.85546875" style="51" customWidth="1"/>
    <col min="8217" max="8448" width="11.42578125" style="51"/>
    <col min="8449" max="8449" width="10.140625" style="51" customWidth="1"/>
    <col min="8450" max="8450" width="20" style="51" customWidth="1"/>
    <col min="8451" max="8451" width="2.85546875" style="51" customWidth="1"/>
    <col min="8452" max="8453" width="4.5703125" style="51" customWidth="1"/>
    <col min="8454" max="8454" width="5.5703125" style="51" customWidth="1"/>
    <col min="8455" max="8457" width="11" style="51" customWidth="1"/>
    <col min="8458" max="8458" width="15.28515625" style="51" customWidth="1"/>
    <col min="8459" max="8459" width="1" style="51" customWidth="1"/>
    <col min="8460" max="8460" width="20" style="51" customWidth="1"/>
    <col min="8461" max="8461" width="2.85546875" style="51" customWidth="1"/>
    <col min="8462" max="8462" width="5.5703125" style="51" customWidth="1"/>
    <col min="8463" max="8463" width="4.5703125" style="51" customWidth="1"/>
    <col min="8464" max="8464" width="5.5703125" style="51" customWidth="1"/>
    <col min="8465" max="8466" width="11" style="51" customWidth="1"/>
    <col min="8467" max="8467" width="11.28515625" style="51" customWidth="1"/>
    <col min="8468" max="8468" width="15.28515625" style="51" customWidth="1"/>
    <col min="8469" max="8469" width="0.42578125" style="51" customWidth="1"/>
    <col min="8470" max="8471" width="11.42578125" style="51"/>
    <col min="8472" max="8472" width="6.85546875" style="51" customWidth="1"/>
    <col min="8473" max="8704" width="11.42578125" style="51"/>
    <col min="8705" max="8705" width="10.140625" style="51" customWidth="1"/>
    <col min="8706" max="8706" width="20" style="51" customWidth="1"/>
    <col min="8707" max="8707" width="2.85546875" style="51" customWidth="1"/>
    <col min="8708" max="8709" width="4.5703125" style="51" customWidth="1"/>
    <col min="8710" max="8710" width="5.5703125" style="51" customWidth="1"/>
    <col min="8711" max="8713" width="11" style="51" customWidth="1"/>
    <col min="8714" max="8714" width="15.28515625" style="51" customWidth="1"/>
    <col min="8715" max="8715" width="1" style="51" customWidth="1"/>
    <col min="8716" max="8716" width="20" style="51" customWidth="1"/>
    <col min="8717" max="8717" width="2.85546875" style="51" customWidth="1"/>
    <col min="8718" max="8718" width="5.5703125" style="51" customWidth="1"/>
    <col min="8719" max="8719" width="4.5703125" style="51" customWidth="1"/>
    <col min="8720" max="8720" width="5.5703125" style="51" customWidth="1"/>
    <col min="8721" max="8722" width="11" style="51" customWidth="1"/>
    <col min="8723" max="8723" width="11.28515625" style="51" customWidth="1"/>
    <col min="8724" max="8724" width="15.28515625" style="51" customWidth="1"/>
    <col min="8725" max="8725" width="0.42578125" style="51" customWidth="1"/>
    <col min="8726" max="8727" width="11.42578125" style="51"/>
    <col min="8728" max="8728" width="6.85546875" style="51" customWidth="1"/>
    <col min="8729" max="8960" width="11.42578125" style="51"/>
    <col min="8961" max="8961" width="10.140625" style="51" customWidth="1"/>
    <col min="8962" max="8962" width="20" style="51" customWidth="1"/>
    <col min="8963" max="8963" width="2.85546875" style="51" customWidth="1"/>
    <col min="8964" max="8965" width="4.5703125" style="51" customWidth="1"/>
    <col min="8966" max="8966" width="5.5703125" style="51" customWidth="1"/>
    <col min="8967" max="8969" width="11" style="51" customWidth="1"/>
    <col min="8970" max="8970" width="15.28515625" style="51" customWidth="1"/>
    <col min="8971" max="8971" width="1" style="51" customWidth="1"/>
    <col min="8972" max="8972" width="20" style="51" customWidth="1"/>
    <col min="8973" max="8973" width="2.85546875" style="51" customWidth="1"/>
    <col min="8974" max="8974" width="5.5703125" style="51" customWidth="1"/>
    <col min="8975" max="8975" width="4.5703125" style="51" customWidth="1"/>
    <col min="8976" max="8976" width="5.5703125" style="51" customWidth="1"/>
    <col min="8977" max="8978" width="11" style="51" customWidth="1"/>
    <col min="8979" max="8979" width="11.28515625" style="51" customWidth="1"/>
    <col min="8980" max="8980" width="15.28515625" style="51" customWidth="1"/>
    <col min="8981" max="8981" width="0.42578125" style="51" customWidth="1"/>
    <col min="8982" max="8983" width="11.42578125" style="51"/>
    <col min="8984" max="8984" width="6.85546875" style="51" customWidth="1"/>
    <col min="8985" max="9216" width="11.42578125" style="51"/>
    <col min="9217" max="9217" width="10.140625" style="51" customWidth="1"/>
    <col min="9218" max="9218" width="20" style="51" customWidth="1"/>
    <col min="9219" max="9219" width="2.85546875" style="51" customWidth="1"/>
    <col min="9220" max="9221" width="4.5703125" style="51" customWidth="1"/>
    <col min="9222" max="9222" width="5.5703125" style="51" customWidth="1"/>
    <col min="9223" max="9225" width="11" style="51" customWidth="1"/>
    <col min="9226" max="9226" width="15.28515625" style="51" customWidth="1"/>
    <col min="9227" max="9227" width="1" style="51" customWidth="1"/>
    <col min="9228" max="9228" width="20" style="51" customWidth="1"/>
    <col min="9229" max="9229" width="2.85546875" style="51" customWidth="1"/>
    <col min="9230" max="9230" width="5.5703125" style="51" customWidth="1"/>
    <col min="9231" max="9231" width="4.5703125" style="51" customWidth="1"/>
    <col min="9232" max="9232" width="5.5703125" style="51" customWidth="1"/>
    <col min="9233" max="9234" width="11" style="51" customWidth="1"/>
    <col min="9235" max="9235" width="11.28515625" style="51" customWidth="1"/>
    <col min="9236" max="9236" width="15.28515625" style="51" customWidth="1"/>
    <col min="9237" max="9237" width="0.42578125" style="51" customWidth="1"/>
    <col min="9238" max="9239" width="11.42578125" style="51"/>
    <col min="9240" max="9240" width="6.85546875" style="51" customWidth="1"/>
    <col min="9241" max="9472" width="11.42578125" style="51"/>
    <col min="9473" max="9473" width="10.140625" style="51" customWidth="1"/>
    <col min="9474" max="9474" width="20" style="51" customWidth="1"/>
    <col min="9475" max="9475" width="2.85546875" style="51" customWidth="1"/>
    <col min="9476" max="9477" width="4.5703125" style="51" customWidth="1"/>
    <col min="9478" max="9478" width="5.5703125" style="51" customWidth="1"/>
    <col min="9479" max="9481" width="11" style="51" customWidth="1"/>
    <col min="9482" max="9482" width="15.28515625" style="51" customWidth="1"/>
    <col min="9483" max="9483" width="1" style="51" customWidth="1"/>
    <col min="9484" max="9484" width="20" style="51" customWidth="1"/>
    <col min="9485" max="9485" width="2.85546875" style="51" customWidth="1"/>
    <col min="9486" max="9486" width="5.5703125" style="51" customWidth="1"/>
    <col min="9487" max="9487" width="4.5703125" style="51" customWidth="1"/>
    <col min="9488" max="9488" width="5.5703125" style="51" customWidth="1"/>
    <col min="9489" max="9490" width="11" style="51" customWidth="1"/>
    <col min="9491" max="9491" width="11.28515625" style="51" customWidth="1"/>
    <col min="9492" max="9492" width="15.28515625" style="51" customWidth="1"/>
    <col min="9493" max="9493" width="0.42578125" style="51" customWidth="1"/>
    <col min="9494" max="9495" width="11.42578125" style="51"/>
    <col min="9496" max="9496" width="6.85546875" style="51" customWidth="1"/>
    <col min="9497" max="9728" width="11.42578125" style="51"/>
    <col min="9729" max="9729" width="10.140625" style="51" customWidth="1"/>
    <col min="9730" max="9730" width="20" style="51" customWidth="1"/>
    <col min="9731" max="9731" width="2.85546875" style="51" customWidth="1"/>
    <col min="9732" max="9733" width="4.5703125" style="51" customWidth="1"/>
    <col min="9734" max="9734" width="5.5703125" style="51" customWidth="1"/>
    <col min="9735" max="9737" width="11" style="51" customWidth="1"/>
    <col min="9738" max="9738" width="15.28515625" style="51" customWidth="1"/>
    <col min="9739" max="9739" width="1" style="51" customWidth="1"/>
    <col min="9740" max="9740" width="20" style="51" customWidth="1"/>
    <col min="9741" max="9741" width="2.85546875" style="51" customWidth="1"/>
    <col min="9742" max="9742" width="5.5703125" style="51" customWidth="1"/>
    <col min="9743" max="9743" width="4.5703125" style="51" customWidth="1"/>
    <col min="9744" max="9744" width="5.5703125" style="51" customWidth="1"/>
    <col min="9745" max="9746" width="11" style="51" customWidth="1"/>
    <col min="9747" max="9747" width="11.28515625" style="51" customWidth="1"/>
    <col min="9748" max="9748" width="15.28515625" style="51" customWidth="1"/>
    <col min="9749" max="9749" width="0.42578125" style="51" customWidth="1"/>
    <col min="9750" max="9751" width="11.42578125" style="51"/>
    <col min="9752" max="9752" width="6.85546875" style="51" customWidth="1"/>
    <col min="9753" max="9984" width="11.42578125" style="51"/>
    <col min="9985" max="9985" width="10.140625" style="51" customWidth="1"/>
    <col min="9986" max="9986" width="20" style="51" customWidth="1"/>
    <col min="9987" max="9987" width="2.85546875" style="51" customWidth="1"/>
    <col min="9988" max="9989" width="4.5703125" style="51" customWidth="1"/>
    <col min="9990" max="9990" width="5.5703125" style="51" customWidth="1"/>
    <col min="9991" max="9993" width="11" style="51" customWidth="1"/>
    <col min="9994" max="9994" width="15.28515625" style="51" customWidth="1"/>
    <col min="9995" max="9995" width="1" style="51" customWidth="1"/>
    <col min="9996" max="9996" width="20" style="51" customWidth="1"/>
    <col min="9997" max="9997" width="2.85546875" style="51" customWidth="1"/>
    <col min="9998" max="9998" width="5.5703125" style="51" customWidth="1"/>
    <col min="9999" max="9999" width="4.5703125" style="51" customWidth="1"/>
    <col min="10000" max="10000" width="5.5703125" style="51" customWidth="1"/>
    <col min="10001" max="10002" width="11" style="51" customWidth="1"/>
    <col min="10003" max="10003" width="11.28515625" style="51" customWidth="1"/>
    <col min="10004" max="10004" width="15.28515625" style="51" customWidth="1"/>
    <col min="10005" max="10005" width="0.42578125" style="51" customWidth="1"/>
    <col min="10006" max="10007" width="11.42578125" style="51"/>
    <col min="10008" max="10008" width="6.85546875" style="51" customWidth="1"/>
    <col min="10009" max="10240" width="11.42578125" style="51"/>
    <col min="10241" max="10241" width="10.140625" style="51" customWidth="1"/>
    <col min="10242" max="10242" width="20" style="51" customWidth="1"/>
    <col min="10243" max="10243" width="2.85546875" style="51" customWidth="1"/>
    <col min="10244" max="10245" width="4.5703125" style="51" customWidth="1"/>
    <col min="10246" max="10246" width="5.5703125" style="51" customWidth="1"/>
    <col min="10247" max="10249" width="11" style="51" customWidth="1"/>
    <col min="10250" max="10250" width="15.28515625" style="51" customWidth="1"/>
    <col min="10251" max="10251" width="1" style="51" customWidth="1"/>
    <col min="10252" max="10252" width="20" style="51" customWidth="1"/>
    <col min="10253" max="10253" width="2.85546875" style="51" customWidth="1"/>
    <col min="10254" max="10254" width="5.5703125" style="51" customWidth="1"/>
    <col min="10255" max="10255" width="4.5703125" style="51" customWidth="1"/>
    <col min="10256" max="10256" width="5.5703125" style="51" customWidth="1"/>
    <col min="10257" max="10258" width="11" style="51" customWidth="1"/>
    <col min="10259" max="10259" width="11.28515625" style="51" customWidth="1"/>
    <col min="10260" max="10260" width="15.28515625" style="51" customWidth="1"/>
    <col min="10261" max="10261" width="0.42578125" style="51" customWidth="1"/>
    <col min="10262" max="10263" width="11.42578125" style="51"/>
    <col min="10264" max="10264" width="6.85546875" style="51" customWidth="1"/>
    <col min="10265" max="10496" width="11.42578125" style="51"/>
    <col min="10497" max="10497" width="10.140625" style="51" customWidth="1"/>
    <col min="10498" max="10498" width="20" style="51" customWidth="1"/>
    <col min="10499" max="10499" width="2.85546875" style="51" customWidth="1"/>
    <col min="10500" max="10501" width="4.5703125" style="51" customWidth="1"/>
    <col min="10502" max="10502" width="5.5703125" style="51" customWidth="1"/>
    <col min="10503" max="10505" width="11" style="51" customWidth="1"/>
    <col min="10506" max="10506" width="15.28515625" style="51" customWidth="1"/>
    <col min="10507" max="10507" width="1" style="51" customWidth="1"/>
    <col min="10508" max="10508" width="20" style="51" customWidth="1"/>
    <col min="10509" max="10509" width="2.85546875" style="51" customWidth="1"/>
    <col min="10510" max="10510" width="5.5703125" style="51" customWidth="1"/>
    <col min="10511" max="10511" width="4.5703125" style="51" customWidth="1"/>
    <col min="10512" max="10512" width="5.5703125" style="51" customWidth="1"/>
    <col min="10513" max="10514" width="11" style="51" customWidth="1"/>
    <col min="10515" max="10515" width="11.28515625" style="51" customWidth="1"/>
    <col min="10516" max="10516" width="15.28515625" style="51" customWidth="1"/>
    <col min="10517" max="10517" width="0.42578125" style="51" customWidth="1"/>
    <col min="10518" max="10519" width="11.42578125" style="51"/>
    <col min="10520" max="10520" width="6.85546875" style="51" customWidth="1"/>
    <col min="10521" max="10752" width="11.42578125" style="51"/>
    <col min="10753" max="10753" width="10.140625" style="51" customWidth="1"/>
    <col min="10754" max="10754" width="20" style="51" customWidth="1"/>
    <col min="10755" max="10755" width="2.85546875" style="51" customWidth="1"/>
    <col min="10756" max="10757" width="4.5703125" style="51" customWidth="1"/>
    <col min="10758" max="10758" width="5.5703125" style="51" customWidth="1"/>
    <col min="10759" max="10761" width="11" style="51" customWidth="1"/>
    <col min="10762" max="10762" width="15.28515625" style="51" customWidth="1"/>
    <col min="10763" max="10763" width="1" style="51" customWidth="1"/>
    <col min="10764" max="10764" width="20" style="51" customWidth="1"/>
    <col min="10765" max="10765" width="2.85546875" style="51" customWidth="1"/>
    <col min="10766" max="10766" width="5.5703125" style="51" customWidth="1"/>
    <col min="10767" max="10767" width="4.5703125" style="51" customWidth="1"/>
    <col min="10768" max="10768" width="5.5703125" style="51" customWidth="1"/>
    <col min="10769" max="10770" width="11" style="51" customWidth="1"/>
    <col min="10771" max="10771" width="11.28515625" style="51" customWidth="1"/>
    <col min="10772" max="10772" width="15.28515625" style="51" customWidth="1"/>
    <col min="10773" max="10773" width="0.42578125" style="51" customWidth="1"/>
    <col min="10774" max="10775" width="11.42578125" style="51"/>
    <col min="10776" max="10776" width="6.85546875" style="51" customWidth="1"/>
    <col min="10777" max="11008" width="11.42578125" style="51"/>
    <col min="11009" max="11009" width="10.140625" style="51" customWidth="1"/>
    <col min="11010" max="11010" width="20" style="51" customWidth="1"/>
    <col min="11011" max="11011" width="2.85546875" style="51" customWidth="1"/>
    <col min="11012" max="11013" width="4.5703125" style="51" customWidth="1"/>
    <col min="11014" max="11014" width="5.5703125" style="51" customWidth="1"/>
    <col min="11015" max="11017" width="11" style="51" customWidth="1"/>
    <col min="11018" max="11018" width="15.28515625" style="51" customWidth="1"/>
    <col min="11019" max="11019" width="1" style="51" customWidth="1"/>
    <col min="11020" max="11020" width="20" style="51" customWidth="1"/>
    <col min="11021" max="11021" width="2.85546875" style="51" customWidth="1"/>
    <col min="11022" max="11022" width="5.5703125" style="51" customWidth="1"/>
    <col min="11023" max="11023" width="4.5703125" style="51" customWidth="1"/>
    <col min="11024" max="11024" width="5.5703125" style="51" customWidth="1"/>
    <col min="11025" max="11026" width="11" style="51" customWidth="1"/>
    <col min="11027" max="11027" width="11.28515625" style="51" customWidth="1"/>
    <col min="11028" max="11028" width="15.28515625" style="51" customWidth="1"/>
    <col min="11029" max="11029" width="0.42578125" style="51" customWidth="1"/>
    <col min="11030" max="11031" width="11.42578125" style="51"/>
    <col min="11032" max="11032" width="6.85546875" style="51" customWidth="1"/>
    <col min="11033" max="11264" width="11.42578125" style="51"/>
    <col min="11265" max="11265" width="10.140625" style="51" customWidth="1"/>
    <col min="11266" max="11266" width="20" style="51" customWidth="1"/>
    <col min="11267" max="11267" width="2.85546875" style="51" customWidth="1"/>
    <col min="11268" max="11269" width="4.5703125" style="51" customWidth="1"/>
    <col min="11270" max="11270" width="5.5703125" style="51" customWidth="1"/>
    <col min="11271" max="11273" width="11" style="51" customWidth="1"/>
    <col min="11274" max="11274" width="15.28515625" style="51" customWidth="1"/>
    <col min="11275" max="11275" width="1" style="51" customWidth="1"/>
    <col min="11276" max="11276" width="20" style="51" customWidth="1"/>
    <col min="11277" max="11277" width="2.85546875" style="51" customWidth="1"/>
    <col min="11278" max="11278" width="5.5703125" style="51" customWidth="1"/>
    <col min="11279" max="11279" width="4.5703125" style="51" customWidth="1"/>
    <col min="11280" max="11280" width="5.5703125" style="51" customWidth="1"/>
    <col min="11281" max="11282" width="11" style="51" customWidth="1"/>
    <col min="11283" max="11283" width="11.28515625" style="51" customWidth="1"/>
    <col min="11284" max="11284" width="15.28515625" style="51" customWidth="1"/>
    <col min="11285" max="11285" width="0.42578125" style="51" customWidth="1"/>
    <col min="11286" max="11287" width="11.42578125" style="51"/>
    <col min="11288" max="11288" width="6.85546875" style="51" customWidth="1"/>
    <col min="11289" max="11520" width="11.42578125" style="51"/>
    <col min="11521" max="11521" width="10.140625" style="51" customWidth="1"/>
    <col min="11522" max="11522" width="20" style="51" customWidth="1"/>
    <col min="11523" max="11523" width="2.85546875" style="51" customWidth="1"/>
    <col min="11524" max="11525" width="4.5703125" style="51" customWidth="1"/>
    <col min="11526" max="11526" width="5.5703125" style="51" customWidth="1"/>
    <col min="11527" max="11529" width="11" style="51" customWidth="1"/>
    <col min="11530" max="11530" width="15.28515625" style="51" customWidth="1"/>
    <col min="11531" max="11531" width="1" style="51" customWidth="1"/>
    <col min="11532" max="11532" width="20" style="51" customWidth="1"/>
    <col min="11533" max="11533" width="2.85546875" style="51" customWidth="1"/>
    <col min="11534" max="11534" width="5.5703125" style="51" customWidth="1"/>
    <col min="11535" max="11535" width="4.5703125" style="51" customWidth="1"/>
    <col min="11536" max="11536" width="5.5703125" style="51" customWidth="1"/>
    <col min="11537" max="11538" width="11" style="51" customWidth="1"/>
    <col min="11539" max="11539" width="11.28515625" style="51" customWidth="1"/>
    <col min="11540" max="11540" width="15.28515625" style="51" customWidth="1"/>
    <col min="11541" max="11541" width="0.42578125" style="51" customWidth="1"/>
    <col min="11542" max="11543" width="11.42578125" style="51"/>
    <col min="11544" max="11544" width="6.85546875" style="51" customWidth="1"/>
    <col min="11545" max="11776" width="11.42578125" style="51"/>
    <col min="11777" max="11777" width="10.140625" style="51" customWidth="1"/>
    <col min="11778" max="11778" width="20" style="51" customWidth="1"/>
    <col min="11779" max="11779" width="2.85546875" style="51" customWidth="1"/>
    <col min="11780" max="11781" width="4.5703125" style="51" customWidth="1"/>
    <col min="11782" max="11782" width="5.5703125" style="51" customWidth="1"/>
    <col min="11783" max="11785" width="11" style="51" customWidth="1"/>
    <col min="11786" max="11786" width="15.28515625" style="51" customWidth="1"/>
    <col min="11787" max="11787" width="1" style="51" customWidth="1"/>
    <col min="11788" max="11788" width="20" style="51" customWidth="1"/>
    <col min="11789" max="11789" width="2.85546875" style="51" customWidth="1"/>
    <col min="11790" max="11790" width="5.5703125" style="51" customWidth="1"/>
    <col min="11791" max="11791" width="4.5703125" style="51" customWidth="1"/>
    <col min="11792" max="11792" width="5.5703125" style="51" customWidth="1"/>
    <col min="11793" max="11794" width="11" style="51" customWidth="1"/>
    <col min="11795" max="11795" width="11.28515625" style="51" customWidth="1"/>
    <col min="11796" max="11796" width="15.28515625" style="51" customWidth="1"/>
    <col min="11797" max="11797" width="0.42578125" style="51" customWidth="1"/>
    <col min="11798" max="11799" width="11.42578125" style="51"/>
    <col min="11800" max="11800" width="6.85546875" style="51" customWidth="1"/>
    <col min="11801" max="12032" width="11.42578125" style="51"/>
    <col min="12033" max="12033" width="10.140625" style="51" customWidth="1"/>
    <col min="12034" max="12034" width="20" style="51" customWidth="1"/>
    <col min="12035" max="12035" width="2.85546875" style="51" customWidth="1"/>
    <col min="12036" max="12037" width="4.5703125" style="51" customWidth="1"/>
    <col min="12038" max="12038" width="5.5703125" style="51" customWidth="1"/>
    <col min="12039" max="12041" width="11" style="51" customWidth="1"/>
    <col min="12042" max="12042" width="15.28515625" style="51" customWidth="1"/>
    <col min="12043" max="12043" width="1" style="51" customWidth="1"/>
    <col min="12044" max="12044" width="20" style="51" customWidth="1"/>
    <col min="12045" max="12045" width="2.85546875" style="51" customWidth="1"/>
    <col min="12046" max="12046" width="5.5703125" style="51" customWidth="1"/>
    <col min="12047" max="12047" width="4.5703125" style="51" customWidth="1"/>
    <col min="12048" max="12048" width="5.5703125" style="51" customWidth="1"/>
    <col min="12049" max="12050" width="11" style="51" customWidth="1"/>
    <col min="12051" max="12051" width="11.28515625" style="51" customWidth="1"/>
    <col min="12052" max="12052" width="15.28515625" style="51" customWidth="1"/>
    <col min="12053" max="12053" width="0.42578125" style="51" customWidth="1"/>
    <col min="12054" max="12055" width="11.42578125" style="51"/>
    <col min="12056" max="12056" width="6.85546875" style="51" customWidth="1"/>
    <col min="12057" max="12288" width="11.42578125" style="51"/>
    <col min="12289" max="12289" width="10.140625" style="51" customWidth="1"/>
    <col min="12290" max="12290" width="20" style="51" customWidth="1"/>
    <col min="12291" max="12291" width="2.85546875" style="51" customWidth="1"/>
    <col min="12292" max="12293" width="4.5703125" style="51" customWidth="1"/>
    <col min="12294" max="12294" width="5.5703125" style="51" customWidth="1"/>
    <col min="12295" max="12297" width="11" style="51" customWidth="1"/>
    <col min="12298" max="12298" width="15.28515625" style="51" customWidth="1"/>
    <col min="12299" max="12299" width="1" style="51" customWidth="1"/>
    <col min="12300" max="12300" width="20" style="51" customWidth="1"/>
    <col min="12301" max="12301" width="2.85546875" style="51" customWidth="1"/>
    <col min="12302" max="12302" width="5.5703125" style="51" customWidth="1"/>
    <col min="12303" max="12303" width="4.5703125" style="51" customWidth="1"/>
    <col min="12304" max="12304" width="5.5703125" style="51" customWidth="1"/>
    <col min="12305" max="12306" width="11" style="51" customWidth="1"/>
    <col min="12307" max="12307" width="11.28515625" style="51" customWidth="1"/>
    <col min="12308" max="12308" width="15.28515625" style="51" customWidth="1"/>
    <col min="12309" max="12309" width="0.42578125" style="51" customWidth="1"/>
    <col min="12310" max="12311" width="11.42578125" style="51"/>
    <col min="12312" max="12312" width="6.85546875" style="51" customWidth="1"/>
    <col min="12313" max="12544" width="11.42578125" style="51"/>
    <col min="12545" max="12545" width="10.140625" style="51" customWidth="1"/>
    <col min="12546" max="12546" width="20" style="51" customWidth="1"/>
    <col min="12547" max="12547" width="2.85546875" style="51" customWidth="1"/>
    <col min="12548" max="12549" width="4.5703125" style="51" customWidth="1"/>
    <col min="12550" max="12550" width="5.5703125" style="51" customWidth="1"/>
    <col min="12551" max="12553" width="11" style="51" customWidth="1"/>
    <col min="12554" max="12554" width="15.28515625" style="51" customWidth="1"/>
    <col min="12555" max="12555" width="1" style="51" customWidth="1"/>
    <col min="12556" max="12556" width="20" style="51" customWidth="1"/>
    <col min="12557" max="12557" width="2.85546875" style="51" customWidth="1"/>
    <col min="12558" max="12558" width="5.5703125" style="51" customWidth="1"/>
    <col min="12559" max="12559" width="4.5703125" style="51" customWidth="1"/>
    <col min="12560" max="12560" width="5.5703125" style="51" customWidth="1"/>
    <col min="12561" max="12562" width="11" style="51" customWidth="1"/>
    <col min="12563" max="12563" width="11.28515625" style="51" customWidth="1"/>
    <col min="12564" max="12564" width="15.28515625" style="51" customWidth="1"/>
    <col min="12565" max="12565" width="0.42578125" style="51" customWidth="1"/>
    <col min="12566" max="12567" width="11.42578125" style="51"/>
    <col min="12568" max="12568" width="6.85546875" style="51" customWidth="1"/>
    <col min="12569" max="12800" width="11.42578125" style="51"/>
    <col min="12801" max="12801" width="10.140625" style="51" customWidth="1"/>
    <col min="12802" max="12802" width="20" style="51" customWidth="1"/>
    <col min="12803" max="12803" width="2.85546875" style="51" customWidth="1"/>
    <col min="12804" max="12805" width="4.5703125" style="51" customWidth="1"/>
    <col min="12806" max="12806" width="5.5703125" style="51" customWidth="1"/>
    <col min="12807" max="12809" width="11" style="51" customWidth="1"/>
    <col min="12810" max="12810" width="15.28515625" style="51" customWidth="1"/>
    <col min="12811" max="12811" width="1" style="51" customWidth="1"/>
    <col min="12812" max="12812" width="20" style="51" customWidth="1"/>
    <col min="12813" max="12813" width="2.85546875" style="51" customWidth="1"/>
    <col min="12814" max="12814" width="5.5703125" style="51" customWidth="1"/>
    <col min="12815" max="12815" width="4.5703125" style="51" customWidth="1"/>
    <col min="12816" max="12816" width="5.5703125" style="51" customWidth="1"/>
    <col min="12817" max="12818" width="11" style="51" customWidth="1"/>
    <col min="12819" max="12819" width="11.28515625" style="51" customWidth="1"/>
    <col min="12820" max="12820" width="15.28515625" style="51" customWidth="1"/>
    <col min="12821" max="12821" width="0.42578125" style="51" customWidth="1"/>
    <col min="12822" max="12823" width="11.42578125" style="51"/>
    <col min="12824" max="12824" width="6.85546875" style="51" customWidth="1"/>
    <col min="12825" max="13056" width="11.42578125" style="51"/>
    <col min="13057" max="13057" width="10.140625" style="51" customWidth="1"/>
    <col min="13058" max="13058" width="20" style="51" customWidth="1"/>
    <col min="13059" max="13059" width="2.85546875" style="51" customWidth="1"/>
    <col min="13060" max="13061" width="4.5703125" style="51" customWidth="1"/>
    <col min="13062" max="13062" width="5.5703125" style="51" customWidth="1"/>
    <col min="13063" max="13065" width="11" style="51" customWidth="1"/>
    <col min="13066" max="13066" width="15.28515625" style="51" customWidth="1"/>
    <col min="13067" max="13067" width="1" style="51" customWidth="1"/>
    <col min="13068" max="13068" width="20" style="51" customWidth="1"/>
    <col min="13069" max="13069" width="2.85546875" style="51" customWidth="1"/>
    <col min="13070" max="13070" width="5.5703125" style="51" customWidth="1"/>
    <col min="13071" max="13071" width="4.5703125" style="51" customWidth="1"/>
    <col min="13072" max="13072" width="5.5703125" style="51" customWidth="1"/>
    <col min="13073" max="13074" width="11" style="51" customWidth="1"/>
    <col min="13075" max="13075" width="11.28515625" style="51" customWidth="1"/>
    <col min="13076" max="13076" width="15.28515625" style="51" customWidth="1"/>
    <col min="13077" max="13077" width="0.42578125" style="51" customWidth="1"/>
    <col min="13078" max="13079" width="11.42578125" style="51"/>
    <col min="13080" max="13080" width="6.85546875" style="51" customWidth="1"/>
    <col min="13081" max="13312" width="11.42578125" style="51"/>
    <col min="13313" max="13313" width="10.140625" style="51" customWidth="1"/>
    <col min="13314" max="13314" width="20" style="51" customWidth="1"/>
    <col min="13315" max="13315" width="2.85546875" style="51" customWidth="1"/>
    <col min="13316" max="13317" width="4.5703125" style="51" customWidth="1"/>
    <col min="13318" max="13318" width="5.5703125" style="51" customWidth="1"/>
    <col min="13319" max="13321" width="11" style="51" customWidth="1"/>
    <col min="13322" max="13322" width="15.28515625" style="51" customWidth="1"/>
    <col min="13323" max="13323" width="1" style="51" customWidth="1"/>
    <col min="13324" max="13324" width="20" style="51" customWidth="1"/>
    <col min="13325" max="13325" width="2.85546875" style="51" customWidth="1"/>
    <col min="13326" max="13326" width="5.5703125" style="51" customWidth="1"/>
    <col min="13327" max="13327" width="4.5703125" style="51" customWidth="1"/>
    <col min="13328" max="13328" width="5.5703125" style="51" customWidth="1"/>
    <col min="13329" max="13330" width="11" style="51" customWidth="1"/>
    <col min="13331" max="13331" width="11.28515625" style="51" customWidth="1"/>
    <col min="13332" max="13332" width="15.28515625" style="51" customWidth="1"/>
    <col min="13333" max="13333" width="0.42578125" style="51" customWidth="1"/>
    <col min="13334" max="13335" width="11.42578125" style="51"/>
    <col min="13336" max="13336" width="6.85546875" style="51" customWidth="1"/>
    <col min="13337" max="13568" width="11.42578125" style="51"/>
    <col min="13569" max="13569" width="10.140625" style="51" customWidth="1"/>
    <col min="13570" max="13570" width="20" style="51" customWidth="1"/>
    <col min="13571" max="13571" width="2.85546875" style="51" customWidth="1"/>
    <col min="13572" max="13573" width="4.5703125" style="51" customWidth="1"/>
    <col min="13574" max="13574" width="5.5703125" style="51" customWidth="1"/>
    <col min="13575" max="13577" width="11" style="51" customWidth="1"/>
    <col min="13578" max="13578" width="15.28515625" style="51" customWidth="1"/>
    <col min="13579" max="13579" width="1" style="51" customWidth="1"/>
    <col min="13580" max="13580" width="20" style="51" customWidth="1"/>
    <col min="13581" max="13581" width="2.85546875" style="51" customWidth="1"/>
    <col min="13582" max="13582" width="5.5703125" style="51" customWidth="1"/>
    <col min="13583" max="13583" width="4.5703125" style="51" customWidth="1"/>
    <col min="13584" max="13584" width="5.5703125" style="51" customWidth="1"/>
    <col min="13585" max="13586" width="11" style="51" customWidth="1"/>
    <col min="13587" max="13587" width="11.28515625" style="51" customWidth="1"/>
    <col min="13588" max="13588" width="15.28515625" style="51" customWidth="1"/>
    <col min="13589" max="13589" width="0.42578125" style="51" customWidth="1"/>
    <col min="13590" max="13591" width="11.42578125" style="51"/>
    <col min="13592" max="13592" width="6.85546875" style="51" customWidth="1"/>
    <col min="13593" max="13824" width="11.42578125" style="51"/>
    <col min="13825" max="13825" width="10.140625" style="51" customWidth="1"/>
    <col min="13826" max="13826" width="20" style="51" customWidth="1"/>
    <col min="13827" max="13827" width="2.85546875" style="51" customWidth="1"/>
    <col min="13828" max="13829" width="4.5703125" style="51" customWidth="1"/>
    <col min="13830" max="13830" width="5.5703125" style="51" customWidth="1"/>
    <col min="13831" max="13833" width="11" style="51" customWidth="1"/>
    <col min="13834" max="13834" width="15.28515625" style="51" customWidth="1"/>
    <col min="13835" max="13835" width="1" style="51" customWidth="1"/>
    <col min="13836" max="13836" width="20" style="51" customWidth="1"/>
    <col min="13837" max="13837" width="2.85546875" style="51" customWidth="1"/>
    <col min="13838" max="13838" width="5.5703125" style="51" customWidth="1"/>
    <col min="13839" max="13839" width="4.5703125" style="51" customWidth="1"/>
    <col min="13840" max="13840" width="5.5703125" style="51" customWidth="1"/>
    <col min="13841" max="13842" width="11" style="51" customWidth="1"/>
    <col min="13843" max="13843" width="11.28515625" style="51" customWidth="1"/>
    <col min="13844" max="13844" width="15.28515625" style="51" customWidth="1"/>
    <col min="13845" max="13845" width="0.42578125" style="51" customWidth="1"/>
    <col min="13846" max="13847" width="11.42578125" style="51"/>
    <col min="13848" max="13848" width="6.85546875" style="51" customWidth="1"/>
    <col min="13849" max="14080" width="11.42578125" style="51"/>
    <col min="14081" max="14081" width="10.140625" style="51" customWidth="1"/>
    <col min="14082" max="14082" width="20" style="51" customWidth="1"/>
    <col min="14083" max="14083" width="2.85546875" style="51" customWidth="1"/>
    <col min="14084" max="14085" width="4.5703125" style="51" customWidth="1"/>
    <col min="14086" max="14086" width="5.5703125" style="51" customWidth="1"/>
    <col min="14087" max="14089" width="11" style="51" customWidth="1"/>
    <col min="14090" max="14090" width="15.28515625" style="51" customWidth="1"/>
    <col min="14091" max="14091" width="1" style="51" customWidth="1"/>
    <col min="14092" max="14092" width="20" style="51" customWidth="1"/>
    <col min="14093" max="14093" width="2.85546875" style="51" customWidth="1"/>
    <col min="14094" max="14094" width="5.5703125" style="51" customWidth="1"/>
    <col min="14095" max="14095" width="4.5703125" style="51" customWidth="1"/>
    <col min="14096" max="14096" width="5.5703125" style="51" customWidth="1"/>
    <col min="14097" max="14098" width="11" style="51" customWidth="1"/>
    <col min="14099" max="14099" width="11.28515625" style="51" customWidth="1"/>
    <col min="14100" max="14100" width="15.28515625" style="51" customWidth="1"/>
    <col min="14101" max="14101" width="0.42578125" style="51" customWidth="1"/>
    <col min="14102" max="14103" width="11.42578125" style="51"/>
    <col min="14104" max="14104" width="6.85546875" style="51" customWidth="1"/>
    <col min="14105" max="14336" width="11.42578125" style="51"/>
    <col min="14337" max="14337" width="10.140625" style="51" customWidth="1"/>
    <col min="14338" max="14338" width="20" style="51" customWidth="1"/>
    <col min="14339" max="14339" width="2.85546875" style="51" customWidth="1"/>
    <col min="14340" max="14341" width="4.5703125" style="51" customWidth="1"/>
    <col min="14342" max="14342" width="5.5703125" style="51" customWidth="1"/>
    <col min="14343" max="14345" width="11" style="51" customWidth="1"/>
    <col min="14346" max="14346" width="15.28515625" style="51" customWidth="1"/>
    <col min="14347" max="14347" width="1" style="51" customWidth="1"/>
    <col min="14348" max="14348" width="20" style="51" customWidth="1"/>
    <col min="14349" max="14349" width="2.85546875" style="51" customWidth="1"/>
    <col min="14350" max="14350" width="5.5703125" style="51" customWidth="1"/>
    <col min="14351" max="14351" width="4.5703125" style="51" customWidth="1"/>
    <col min="14352" max="14352" width="5.5703125" style="51" customWidth="1"/>
    <col min="14353" max="14354" width="11" style="51" customWidth="1"/>
    <col min="14355" max="14355" width="11.28515625" style="51" customWidth="1"/>
    <col min="14356" max="14356" width="15.28515625" style="51" customWidth="1"/>
    <col min="14357" max="14357" width="0.42578125" style="51" customWidth="1"/>
    <col min="14358" max="14359" width="11.42578125" style="51"/>
    <col min="14360" max="14360" width="6.85546875" style="51" customWidth="1"/>
    <col min="14361" max="14592" width="11.42578125" style="51"/>
    <col min="14593" max="14593" width="10.140625" style="51" customWidth="1"/>
    <col min="14594" max="14594" width="20" style="51" customWidth="1"/>
    <col min="14595" max="14595" width="2.85546875" style="51" customWidth="1"/>
    <col min="14596" max="14597" width="4.5703125" style="51" customWidth="1"/>
    <col min="14598" max="14598" width="5.5703125" style="51" customWidth="1"/>
    <col min="14599" max="14601" width="11" style="51" customWidth="1"/>
    <col min="14602" max="14602" width="15.28515625" style="51" customWidth="1"/>
    <col min="14603" max="14603" width="1" style="51" customWidth="1"/>
    <col min="14604" max="14604" width="20" style="51" customWidth="1"/>
    <col min="14605" max="14605" width="2.85546875" style="51" customWidth="1"/>
    <col min="14606" max="14606" width="5.5703125" style="51" customWidth="1"/>
    <col min="14607" max="14607" width="4.5703125" style="51" customWidth="1"/>
    <col min="14608" max="14608" width="5.5703125" style="51" customWidth="1"/>
    <col min="14609" max="14610" width="11" style="51" customWidth="1"/>
    <col min="14611" max="14611" width="11.28515625" style="51" customWidth="1"/>
    <col min="14612" max="14612" width="15.28515625" style="51" customWidth="1"/>
    <col min="14613" max="14613" width="0.42578125" style="51" customWidth="1"/>
    <col min="14614" max="14615" width="11.42578125" style="51"/>
    <col min="14616" max="14616" width="6.85546875" style="51" customWidth="1"/>
    <col min="14617" max="14848" width="11.42578125" style="51"/>
    <col min="14849" max="14849" width="10.140625" style="51" customWidth="1"/>
    <col min="14850" max="14850" width="20" style="51" customWidth="1"/>
    <col min="14851" max="14851" width="2.85546875" style="51" customWidth="1"/>
    <col min="14852" max="14853" width="4.5703125" style="51" customWidth="1"/>
    <col min="14854" max="14854" width="5.5703125" style="51" customWidth="1"/>
    <col min="14855" max="14857" width="11" style="51" customWidth="1"/>
    <col min="14858" max="14858" width="15.28515625" style="51" customWidth="1"/>
    <col min="14859" max="14859" width="1" style="51" customWidth="1"/>
    <col min="14860" max="14860" width="20" style="51" customWidth="1"/>
    <col min="14861" max="14861" width="2.85546875" style="51" customWidth="1"/>
    <col min="14862" max="14862" width="5.5703125" style="51" customWidth="1"/>
    <col min="14863" max="14863" width="4.5703125" style="51" customWidth="1"/>
    <col min="14864" max="14864" width="5.5703125" style="51" customWidth="1"/>
    <col min="14865" max="14866" width="11" style="51" customWidth="1"/>
    <col min="14867" max="14867" width="11.28515625" style="51" customWidth="1"/>
    <col min="14868" max="14868" width="15.28515625" style="51" customWidth="1"/>
    <col min="14869" max="14869" width="0.42578125" style="51" customWidth="1"/>
    <col min="14870" max="14871" width="11.42578125" style="51"/>
    <col min="14872" max="14872" width="6.85546875" style="51" customWidth="1"/>
    <col min="14873" max="15104" width="11.42578125" style="51"/>
    <col min="15105" max="15105" width="10.140625" style="51" customWidth="1"/>
    <col min="15106" max="15106" width="20" style="51" customWidth="1"/>
    <col min="15107" max="15107" width="2.85546875" style="51" customWidth="1"/>
    <col min="15108" max="15109" width="4.5703125" style="51" customWidth="1"/>
    <col min="15110" max="15110" width="5.5703125" style="51" customWidth="1"/>
    <col min="15111" max="15113" width="11" style="51" customWidth="1"/>
    <col min="15114" max="15114" width="15.28515625" style="51" customWidth="1"/>
    <col min="15115" max="15115" width="1" style="51" customWidth="1"/>
    <col min="15116" max="15116" width="20" style="51" customWidth="1"/>
    <col min="15117" max="15117" width="2.85546875" style="51" customWidth="1"/>
    <col min="15118" max="15118" width="5.5703125" style="51" customWidth="1"/>
    <col min="15119" max="15119" width="4.5703125" style="51" customWidth="1"/>
    <col min="15120" max="15120" width="5.5703125" style="51" customWidth="1"/>
    <col min="15121" max="15122" width="11" style="51" customWidth="1"/>
    <col min="15123" max="15123" width="11.28515625" style="51" customWidth="1"/>
    <col min="15124" max="15124" width="15.28515625" style="51" customWidth="1"/>
    <col min="15125" max="15125" width="0.42578125" style="51" customWidth="1"/>
    <col min="15126" max="15127" width="11.42578125" style="51"/>
    <col min="15128" max="15128" width="6.85546875" style="51" customWidth="1"/>
    <col min="15129" max="15360" width="11.42578125" style="51"/>
    <col min="15361" max="15361" width="10.140625" style="51" customWidth="1"/>
    <col min="15362" max="15362" width="20" style="51" customWidth="1"/>
    <col min="15363" max="15363" width="2.85546875" style="51" customWidth="1"/>
    <col min="15364" max="15365" width="4.5703125" style="51" customWidth="1"/>
    <col min="15366" max="15366" width="5.5703125" style="51" customWidth="1"/>
    <col min="15367" max="15369" width="11" style="51" customWidth="1"/>
    <col min="15370" max="15370" width="15.28515625" style="51" customWidth="1"/>
    <col min="15371" max="15371" width="1" style="51" customWidth="1"/>
    <col min="15372" max="15372" width="20" style="51" customWidth="1"/>
    <col min="15373" max="15373" width="2.85546875" style="51" customWidth="1"/>
    <col min="15374" max="15374" width="5.5703125" style="51" customWidth="1"/>
    <col min="15375" max="15375" width="4.5703125" style="51" customWidth="1"/>
    <col min="15376" max="15376" width="5.5703125" style="51" customWidth="1"/>
    <col min="15377" max="15378" width="11" style="51" customWidth="1"/>
    <col min="15379" max="15379" width="11.28515625" style="51" customWidth="1"/>
    <col min="15380" max="15380" width="15.28515625" style="51" customWidth="1"/>
    <col min="15381" max="15381" width="0.42578125" style="51" customWidth="1"/>
    <col min="15382" max="15383" width="11.42578125" style="51"/>
    <col min="15384" max="15384" width="6.85546875" style="51" customWidth="1"/>
    <col min="15385" max="15616" width="11.42578125" style="51"/>
    <col min="15617" max="15617" width="10.140625" style="51" customWidth="1"/>
    <col min="15618" max="15618" width="20" style="51" customWidth="1"/>
    <col min="15619" max="15619" width="2.85546875" style="51" customWidth="1"/>
    <col min="15620" max="15621" width="4.5703125" style="51" customWidth="1"/>
    <col min="15622" max="15622" width="5.5703125" style="51" customWidth="1"/>
    <col min="15623" max="15625" width="11" style="51" customWidth="1"/>
    <col min="15626" max="15626" width="15.28515625" style="51" customWidth="1"/>
    <col min="15627" max="15627" width="1" style="51" customWidth="1"/>
    <col min="15628" max="15628" width="20" style="51" customWidth="1"/>
    <col min="15629" max="15629" width="2.85546875" style="51" customWidth="1"/>
    <col min="15630" max="15630" width="5.5703125" style="51" customWidth="1"/>
    <col min="15631" max="15631" width="4.5703125" style="51" customWidth="1"/>
    <col min="15632" max="15632" width="5.5703125" style="51" customWidth="1"/>
    <col min="15633" max="15634" width="11" style="51" customWidth="1"/>
    <col min="15635" max="15635" width="11.28515625" style="51" customWidth="1"/>
    <col min="15636" max="15636" width="15.28515625" style="51" customWidth="1"/>
    <col min="15637" max="15637" width="0.42578125" style="51" customWidth="1"/>
    <col min="15638" max="15639" width="11.42578125" style="51"/>
    <col min="15640" max="15640" width="6.85546875" style="51" customWidth="1"/>
    <col min="15641" max="15872" width="11.42578125" style="51"/>
    <col min="15873" max="15873" width="10.140625" style="51" customWidth="1"/>
    <col min="15874" max="15874" width="20" style="51" customWidth="1"/>
    <col min="15875" max="15875" width="2.85546875" style="51" customWidth="1"/>
    <col min="15876" max="15877" width="4.5703125" style="51" customWidth="1"/>
    <col min="15878" max="15878" width="5.5703125" style="51" customWidth="1"/>
    <col min="15879" max="15881" width="11" style="51" customWidth="1"/>
    <col min="15882" max="15882" width="15.28515625" style="51" customWidth="1"/>
    <col min="15883" max="15883" width="1" style="51" customWidth="1"/>
    <col min="15884" max="15884" width="20" style="51" customWidth="1"/>
    <col min="15885" max="15885" width="2.85546875" style="51" customWidth="1"/>
    <col min="15886" max="15886" width="5.5703125" style="51" customWidth="1"/>
    <col min="15887" max="15887" width="4.5703125" style="51" customWidth="1"/>
    <col min="15888" max="15888" width="5.5703125" style="51" customWidth="1"/>
    <col min="15889" max="15890" width="11" style="51" customWidth="1"/>
    <col min="15891" max="15891" width="11.28515625" style="51" customWidth="1"/>
    <col min="15892" max="15892" width="15.28515625" style="51" customWidth="1"/>
    <col min="15893" max="15893" width="0.42578125" style="51" customWidth="1"/>
    <col min="15894" max="15895" width="11.42578125" style="51"/>
    <col min="15896" max="15896" width="6.85546875" style="51" customWidth="1"/>
    <col min="15897" max="16128" width="11.42578125" style="51"/>
    <col min="16129" max="16129" width="10.140625" style="51" customWidth="1"/>
    <col min="16130" max="16130" width="20" style="51" customWidth="1"/>
    <col min="16131" max="16131" width="2.85546875" style="51" customWidth="1"/>
    <col min="16132" max="16133" width="4.5703125" style="51" customWidth="1"/>
    <col min="16134" max="16134" width="5.5703125" style="51" customWidth="1"/>
    <col min="16135" max="16137" width="11" style="51" customWidth="1"/>
    <col min="16138" max="16138" width="15.28515625" style="51" customWidth="1"/>
    <col min="16139" max="16139" width="1" style="51" customWidth="1"/>
    <col min="16140" max="16140" width="20" style="51" customWidth="1"/>
    <col min="16141" max="16141" width="2.85546875" style="51" customWidth="1"/>
    <col min="16142" max="16142" width="5.5703125" style="51" customWidth="1"/>
    <col min="16143" max="16143" width="4.5703125" style="51" customWidth="1"/>
    <col min="16144" max="16144" width="5.5703125" style="51" customWidth="1"/>
    <col min="16145" max="16146" width="11" style="51" customWidth="1"/>
    <col min="16147" max="16147" width="11.28515625" style="51" customWidth="1"/>
    <col min="16148" max="16148" width="15.28515625" style="51" customWidth="1"/>
    <col min="16149" max="16149" width="0.42578125" style="51" customWidth="1"/>
    <col min="16150" max="16151" width="11.42578125" style="51"/>
    <col min="16152" max="16152" width="6.85546875" style="51" customWidth="1"/>
    <col min="16153" max="16384" width="11.42578125" style="51"/>
  </cols>
  <sheetData>
    <row r="1" spans="2:30" ht="21.75" thickBot="1" x14ac:dyDescent="0.3">
      <c r="B1" s="164" t="s">
        <v>92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2:30" ht="29.25" thickBot="1" x14ac:dyDescent="0.3">
      <c r="B2" s="48" t="s">
        <v>0</v>
      </c>
      <c r="C2" s="52"/>
      <c r="D2" s="53">
        <v>6</v>
      </c>
      <c r="E2" s="54"/>
      <c r="F2" s="55"/>
      <c r="G2" s="55"/>
      <c r="H2" s="56"/>
      <c r="I2" s="56"/>
      <c r="J2" s="56"/>
      <c r="K2" s="57"/>
      <c r="L2" s="56"/>
      <c r="M2" s="58"/>
      <c r="N2" s="58"/>
      <c r="O2" s="58"/>
      <c r="P2" s="56"/>
      <c r="Q2" s="59" t="s">
        <v>93</v>
      </c>
      <c r="R2" s="59"/>
      <c r="S2" s="60">
        <v>15</v>
      </c>
      <c r="T2" s="56"/>
    </row>
    <row r="3" spans="2:30" ht="19.5" thickBot="1" x14ac:dyDescent="0.3">
      <c r="B3" s="48" t="s">
        <v>1</v>
      </c>
      <c r="C3" s="61"/>
      <c r="D3" s="62"/>
      <c r="E3" s="63"/>
      <c r="F3" s="64"/>
      <c r="G3" s="65">
        <v>46302</v>
      </c>
      <c r="H3" s="56"/>
      <c r="I3" s="56"/>
      <c r="J3" s="56"/>
      <c r="K3" s="57"/>
      <c r="L3" s="56"/>
      <c r="M3" s="58"/>
      <c r="N3" s="58"/>
      <c r="O3" s="58"/>
      <c r="P3" s="56"/>
      <c r="Q3" s="59" t="s">
        <v>94</v>
      </c>
      <c r="R3" s="59"/>
      <c r="S3" s="60">
        <v>7.5</v>
      </c>
      <c r="T3" s="56"/>
    </row>
    <row r="4" spans="2:30" ht="32.25" thickBot="1" x14ac:dyDescent="0.3">
      <c r="B4" s="48" t="s">
        <v>95</v>
      </c>
      <c r="C4" s="52"/>
      <c r="D4" s="66">
        <v>9</v>
      </c>
      <c r="E4" s="67"/>
      <c r="F4" s="56"/>
      <c r="G4" s="56"/>
      <c r="H4" s="56"/>
      <c r="I4" s="56"/>
      <c r="J4" s="56"/>
      <c r="K4" s="57"/>
      <c r="L4" s="68" t="s">
        <v>95</v>
      </c>
      <c r="M4" s="69"/>
      <c r="N4" s="70">
        <v>10</v>
      </c>
      <c r="O4" s="71"/>
      <c r="P4" s="56"/>
      <c r="Q4" s="56"/>
      <c r="R4" s="56"/>
      <c r="S4" s="56"/>
      <c r="T4" s="56"/>
    </row>
    <row r="5" spans="2:30" ht="32.25" thickBot="1" x14ac:dyDescent="0.3">
      <c r="B5" s="48" t="s">
        <v>96</v>
      </c>
      <c r="C5" s="61"/>
      <c r="D5" s="72"/>
      <c r="E5" s="73"/>
      <c r="F5" s="74"/>
      <c r="G5" s="70" t="s">
        <v>204</v>
      </c>
      <c r="H5" s="74"/>
      <c r="I5" s="74"/>
      <c r="J5" s="75"/>
      <c r="K5" s="57"/>
      <c r="L5" s="68"/>
      <c r="M5" s="69"/>
      <c r="N5" s="73"/>
      <c r="O5" s="73"/>
      <c r="P5" s="74"/>
      <c r="Q5" s="70" t="s">
        <v>58</v>
      </c>
      <c r="R5" s="74"/>
      <c r="S5" s="74"/>
      <c r="T5" s="75"/>
    </row>
    <row r="6" spans="2:30" ht="21" x14ac:dyDescent="0.25">
      <c r="B6" s="76" t="s">
        <v>97</v>
      </c>
      <c r="C6" s="77"/>
      <c r="D6" s="78"/>
      <c r="E6" s="79"/>
      <c r="F6" s="165"/>
      <c r="G6" s="165"/>
      <c r="H6" s="165"/>
      <c r="I6" s="165"/>
      <c r="J6" s="165"/>
      <c r="K6" s="80"/>
      <c r="L6" s="76" t="s">
        <v>97</v>
      </c>
      <c r="M6" s="79"/>
      <c r="N6" s="81"/>
      <c r="O6" s="79"/>
      <c r="P6" s="165"/>
      <c r="Q6" s="165"/>
      <c r="R6" s="165"/>
      <c r="S6" s="165"/>
      <c r="T6" s="165"/>
    </row>
    <row r="7" spans="2:30" ht="33" x14ac:dyDescent="0.25">
      <c r="B7" s="82" t="s">
        <v>98</v>
      </c>
      <c r="C7" s="83" t="s">
        <v>99</v>
      </c>
      <c r="D7" s="84" t="s">
        <v>100</v>
      </c>
      <c r="E7" s="85" t="s">
        <v>101</v>
      </c>
      <c r="F7" s="86" t="s">
        <v>102</v>
      </c>
      <c r="G7" s="87" t="s">
        <v>103</v>
      </c>
      <c r="H7" s="87" t="s">
        <v>104</v>
      </c>
      <c r="I7" s="87" t="s">
        <v>105</v>
      </c>
      <c r="J7" s="87" t="s">
        <v>106</v>
      </c>
      <c r="K7" s="56" t="s">
        <v>107</v>
      </c>
      <c r="L7" s="82" t="s">
        <v>98</v>
      </c>
      <c r="M7" s="83" t="s">
        <v>99</v>
      </c>
      <c r="N7" s="84" t="s">
        <v>100</v>
      </c>
      <c r="O7" s="85" t="s">
        <v>101</v>
      </c>
      <c r="P7" s="86" t="s">
        <v>102</v>
      </c>
      <c r="Q7" s="87" t="s">
        <v>103</v>
      </c>
      <c r="R7" s="87" t="s">
        <v>104</v>
      </c>
      <c r="S7" s="87" t="s">
        <v>105</v>
      </c>
      <c r="T7" s="87" t="s">
        <v>106</v>
      </c>
      <c r="U7" s="56" t="s">
        <v>107</v>
      </c>
      <c r="AA7" s="86"/>
      <c r="AB7" s="88"/>
      <c r="AC7" s="85"/>
      <c r="AD7" s="89"/>
    </row>
    <row r="8" spans="2:30" ht="31.5" x14ac:dyDescent="0.25">
      <c r="B8" s="91" t="s">
        <v>135</v>
      </c>
      <c r="C8" s="92">
        <v>151</v>
      </c>
      <c r="D8" s="93">
        <v>39</v>
      </c>
      <c r="E8" s="94">
        <v>18</v>
      </c>
      <c r="F8" s="90"/>
      <c r="G8" s="90"/>
      <c r="H8" s="90"/>
      <c r="I8" s="90"/>
      <c r="J8" s="90"/>
      <c r="K8" s="95"/>
      <c r="L8" s="96" t="s">
        <v>207</v>
      </c>
      <c r="M8" s="104"/>
      <c r="N8" s="104"/>
      <c r="O8" s="104"/>
      <c r="P8" s="90"/>
      <c r="Q8" s="96">
        <v>190</v>
      </c>
      <c r="R8" s="96">
        <v>190</v>
      </c>
      <c r="S8" s="96">
        <v>190</v>
      </c>
      <c r="T8" s="96">
        <v>570</v>
      </c>
      <c r="U8" s="96">
        <v>570</v>
      </c>
    </row>
    <row r="9" spans="2:30" ht="31.5" x14ac:dyDescent="0.25">
      <c r="B9" s="91" t="s">
        <v>201</v>
      </c>
      <c r="C9" s="92">
        <v>129</v>
      </c>
      <c r="D9" s="93">
        <v>57</v>
      </c>
      <c r="E9" s="94">
        <v>3</v>
      </c>
      <c r="F9" s="90"/>
      <c r="G9" s="90"/>
      <c r="H9" s="90"/>
      <c r="I9" s="90"/>
      <c r="J9" s="90"/>
      <c r="K9" s="95"/>
      <c r="L9" s="96" t="s">
        <v>207</v>
      </c>
      <c r="M9" s="104"/>
      <c r="N9" s="104"/>
      <c r="O9" s="104"/>
      <c r="P9" s="90"/>
      <c r="Q9" s="96">
        <v>190</v>
      </c>
      <c r="R9" s="96">
        <v>190</v>
      </c>
      <c r="S9" s="96">
        <v>190</v>
      </c>
      <c r="T9" s="96">
        <v>570</v>
      </c>
      <c r="U9" s="96">
        <v>570</v>
      </c>
    </row>
    <row r="10" spans="2:30" ht="31.5" x14ac:dyDescent="0.25">
      <c r="B10" s="91" t="s">
        <v>202</v>
      </c>
      <c r="C10" s="92">
        <v>119</v>
      </c>
      <c r="D10" s="93">
        <v>64</v>
      </c>
      <c r="E10" s="94">
        <v>18</v>
      </c>
      <c r="F10" s="90"/>
      <c r="G10" s="90"/>
      <c r="H10" s="90"/>
      <c r="I10" s="90"/>
      <c r="J10" s="90"/>
      <c r="K10" s="95"/>
      <c r="L10" s="96" t="s">
        <v>207</v>
      </c>
      <c r="M10" s="104"/>
      <c r="N10" s="104"/>
      <c r="O10" s="104"/>
      <c r="P10" s="90"/>
      <c r="Q10" s="96">
        <v>190</v>
      </c>
      <c r="R10" s="96">
        <v>190</v>
      </c>
      <c r="S10" s="96">
        <v>190</v>
      </c>
      <c r="T10" s="96">
        <v>570</v>
      </c>
      <c r="U10" s="96">
        <v>570</v>
      </c>
    </row>
    <row r="11" spans="2:30" ht="31.5" x14ac:dyDescent="0.25">
      <c r="B11" s="91" t="s">
        <v>203</v>
      </c>
      <c r="C11" s="92">
        <v>117</v>
      </c>
      <c r="D11" s="93">
        <v>64</v>
      </c>
      <c r="E11" s="94">
        <v>12</v>
      </c>
      <c r="F11" s="90"/>
      <c r="G11" s="90"/>
      <c r="H11" s="90"/>
      <c r="I11" s="90"/>
      <c r="J11" s="90"/>
      <c r="K11" s="95"/>
      <c r="L11" s="96" t="s">
        <v>207</v>
      </c>
      <c r="M11" s="104"/>
      <c r="N11" s="104"/>
      <c r="O11" s="104"/>
      <c r="P11" s="90"/>
      <c r="Q11" s="96">
        <v>190</v>
      </c>
      <c r="R11" s="96">
        <v>190</v>
      </c>
      <c r="S11" s="96">
        <v>190</v>
      </c>
      <c r="T11" s="96">
        <v>570</v>
      </c>
      <c r="U11" s="96">
        <v>570</v>
      </c>
    </row>
    <row r="12" spans="2:30" ht="31.5" x14ac:dyDescent="0.25">
      <c r="B12" s="91" t="s">
        <v>136</v>
      </c>
      <c r="C12" s="92">
        <v>121</v>
      </c>
      <c r="D12" s="93">
        <v>63</v>
      </c>
      <c r="E12" s="94">
        <v>15</v>
      </c>
      <c r="F12" s="120"/>
      <c r="G12" s="90"/>
      <c r="H12" s="90"/>
      <c r="I12" s="90"/>
      <c r="J12" s="90"/>
      <c r="K12" s="95"/>
      <c r="P12" s="90"/>
      <c r="Q12" s="90"/>
      <c r="R12" s="90"/>
      <c r="S12" s="90"/>
      <c r="T12" s="90"/>
      <c r="U12" s="90"/>
    </row>
    <row r="13" spans="2:30" ht="35.25" customHeight="1" x14ac:dyDescent="0.25">
      <c r="F13" s="120"/>
      <c r="G13" s="90"/>
      <c r="H13" s="90"/>
      <c r="I13" s="90"/>
      <c r="J13" s="90"/>
      <c r="K13" s="95"/>
      <c r="P13" s="120"/>
      <c r="Q13" s="90"/>
      <c r="R13" s="90"/>
      <c r="S13" s="90"/>
      <c r="T13" s="90"/>
      <c r="U13" s="90"/>
    </row>
    <row r="14" spans="2:30" ht="31.5" x14ac:dyDescent="0.25">
      <c r="B14" s="91"/>
      <c r="C14" s="92"/>
      <c r="D14" s="93"/>
      <c r="E14" s="94"/>
      <c r="F14" s="120"/>
      <c r="G14" s="90"/>
      <c r="H14" s="90"/>
      <c r="I14" s="90"/>
      <c r="J14" s="90"/>
      <c r="K14" s="128"/>
      <c r="P14" s="120"/>
      <c r="Q14" s="90"/>
      <c r="R14" s="90"/>
      <c r="S14" s="90"/>
      <c r="T14" s="90"/>
      <c r="U14" s="90"/>
    </row>
    <row r="15" spans="2:30" x14ac:dyDescent="0.25">
      <c r="F15" s="149"/>
      <c r="G15" s="90"/>
      <c r="H15" s="90"/>
      <c r="I15" s="90"/>
      <c r="J15" s="90"/>
      <c r="P15" s="120"/>
      <c r="Q15" s="90"/>
      <c r="R15" s="90"/>
      <c r="S15" s="90"/>
      <c r="T15" s="90"/>
      <c r="U15" s="90"/>
    </row>
    <row r="16" spans="2:30" x14ac:dyDescent="0.25">
      <c r="F16" s="120" t="s">
        <v>109</v>
      </c>
      <c r="G16" s="90"/>
      <c r="H16" s="90"/>
      <c r="I16" s="90"/>
      <c r="J16" s="90"/>
      <c r="P16" s="120" t="s">
        <v>109</v>
      </c>
      <c r="Q16" s="90"/>
      <c r="R16" s="90"/>
      <c r="S16" s="90"/>
      <c r="T16" s="90"/>
      <c r="U16" s="90"/>
    </row>
    <row r="17" spans="2:20" ht="19.5" thickBot="1" x14ac:dyDescent="0.3"/>
    <row r="18" spans="2:20" ht="31.5" x14ac:dyDescent="0.25">
      <c r="B18" s="106" t="s">
        <v>110</v>
      </c>
      <c r="G18" s="96"/>
      <c r="H18" s="96"/>
      <c r="I18" s="96"/>
      <c r="J18" s="96"/>
      <c r="L18" s="106" t="s">
        <v>110</v>
      </c>
      <c r="M18" s="100"/>
      <c r="N18" s="100"/>
      <c r="Q18" s="96">
        <v>760</v>
      </c>
      <c r="R18" s="96">
        <v>760</v>
      </c>
      <c r="S18" s="96">
        <v>760</v>
      </c>
      <c r="T18" s="96">
        <v>2280</v>
      </c>
    </row>
    <row r="19" spans="2:20" ht="31.5" x14ac:dyDescent="0.25">
      <c r="B19" s="107" t="s">
        <v>111</v>
      </c>
      <c r="G19" s="96"/>
      <c r="H19" s="96"/>
      <c r="I19" s="96"/>
      <c r="J19" s="96"/>
      <c r="L19" s="107" t="s">
        <v>111</v>
      </c>
      <c r="M19" s="100"/>
      <c r="N19" s="100"/>
      <c r="Q19" s="96">
        <v>0</v>
      </c>
      <c r="R19" s="96">
        <v>0</v>
      </c>
      <c r="S19" s="96">
        <v>0</v>
      </c>
      <c r="T19" s="96">
        <v>0</v>
      </c>
    </row>
    <row r="20" spans="2:20" ht="31.5" x14ac:dyDescent="0.25">
      <c r="B20" s="107" t="s">
        <v>112</v>
      </c>
      <c r="G20" s="108"/>
      <c r="H20" s="108"/>
      <c r="I20" s="96"/>
      <c r="J20" s="96"/>
      <c r="L20" s="107" t="s">
        <v>112</v>
      </c>
      <c r="M20" s="100"/>
      <c r="N20" s="100"/>
      <c r="Q20" s="108">
        <v>760</v>
      </c>
      <c r="R20" s="108">
        <v>760</v>
      </c>
      <c r="S20" s="96">
        <v>760</v>
      </c>
      <c r="T20" s="96">
        <v>2280</v>
      </c>
    </row>
    <row r="21" spans="2:20" ht="31.5" x14ac:dyDescent="0.25">
      <c r="B21" s="107" t="s">
        <v>113</v>
      </c>
      <c r="F21" s="109"/>
      <c r="G21" s="96"/>
      <c r="H21" s="96"/>
      <c r="I21" s="96"/>
      <c r="J21" s="96"/>
      <c r="L21" s="107" t="s">
        <v>113</v>
      </c>
      <c r="M21" s="100"/>
      <c r="N21" s="100"/>
      <c r="P21" s="109"/>
      <c r="Q21" s="96"/>
      <c r="R21" s="96"/>
      <c r="S21" s="96"/>
      <c r="T21" s="96"/>
    </row>
    <row r="22" spans="2:20" ht="31.5" x14ac:dyDescent="0.25">
      <c r="B22" s="107" t="s">
        <v>114</v>
      </c>
      <c r="G22" s="110"/>
      <c r="H22" s="110"/>
      <c r="I22" s="110"/>
      <c r="J22" s="96"/>
      <c r="L22" s="107" t="s">
        <v>114</v>
      </c>
      <c r="M22" s="100"/>
      <c r="N22" s="100"/>
      <c r="Q22" s="110"/>
      <c r="R22" s="110"/>
      <c r="S22" s="110"/>
      <c r="T22" s="96">
        <v>3</v>
      </c>
    </row>
    <row r="23" spans="2:20" ht="32.25" thickBot="1" x14ac:dyDescent="0.3">
      <c r="B23" s="111" t="s">
        <v>115</v>
      </c>
      <c r="G23" s="110"/>
      <c r="H23" s="110"/>
      <c r="I23" s="110"/>
      <c r="J23" s="96"/>
      <c r="L23" s="111" t="s">
        <v>115</v>
      </c>
      <c r="M23" s="100"/>
      <c r="N23" s="100"/>
      <c r="Q23" s="110"/>
      <c r="R23" s="110"/>
      <c r="S23" s="110"/>
      <c r="T23" s="96"/>
    </row>
    <row r="25" spans="2:20" x14ac:dyDescent="0.25">
      <c r="B25" s="51" t="s">
        <v>116</v>
      </c>
      <c r="F25" s="112"/>
      <c r="G25" s="112"/>
      <c r="H25" s="112"/>
      <c r="I25" s="112"/>
      <c r="J25" s="112"/>
      <c r="L25" s="51" t="s">
        <v>116</v>
      </c>
      <c r="P25" s="112"/>
      <c r="Q25" s="112"/>
      <c r="R25" s="112"/>
      <c r="S25" s="112"/>
      <c r="T25" s="112"/>
    </row>
    <row r="27" spans="2:20" x14ac:dyDescent="0.25">
      <c r="B27" s="113" t="s">
        <v>117</v>
      </c>
      <c r="C27" s="114"/>
      <c r="D27" s="114"/>
      <c r="E27" s="115"/>
      <c r="F27" s="113"/>
      <c r="G27" s="113"/>
      <c r="H27" s="113"/>
      <c r="I27" s="113"/>
      <c r="J27" s="113"/>
      <c r="K27" s="116"/>
      <c r="L27" s="113"/>
      <c r="M27" s="115"/>
      <c r="N27" s="115"/>
      <c r="O27" s="115"/>
      <c r="P27" s="113"/>
      <c r="Q27" s="113"/>
      <c r="R27" s="113"/>
      <c r="S27" s="113"/>
    </row>
    <row r="28" spans="2:20" x14ac:dyDescent="0.25">
      <c r="B28" s="113"/>
      <c r="C28" s="114"/>
      <c r="D28" s="114"/>
      <c r="E28" s="115"/>
      <c r="F28" s="113"/>
      <c r="G28" s="113"/>
      <c r="H28" s="113"/>
      <c r="I28" s="113"/>
      <c r="J28" s="113"/>
      <c r="K28" s="116"/>
      <c r="L28" s="113"/>
      <c r="M28" s="115"/>
      <c r="N28" s="115"/>
      <c r="O28" s="115"/>
      <c r="P28" s="113"/>
      <c r="Q28" s="113"/>
      <c r="R28" s="113"/>
      <c r="S28" s="113"/>
    </row>
    <row r="29" spans="2:20" ht="21" x14ac:dyDescent="0.25">
      <c r="B29" s="117" t="s">
        <v>118</v>
      </c>
      <c r="C29" s="118"/>
      <c r="D29" s="118">
        <v>1</v>
      </c>
      <c r="E29" s="117" t="s">
        <v>119</v>
      </c>
      <c r="F29" s="117"/>
      <c r="L29" s="117" t="s">
        <v>120</v>
      </c>
      <c r="M29" s="117"/>
      <c r="N29" s="117">
        <v>4</v>
      </c>
      <c r="O29" s="117" t="s">
        <v>119</v>
      </c>
      <c r="P29" s="117"/>
    </row>
    <row r="30" spans="2:20" ht="21" x14ac:dyDescent="0.25">
      <c r="B30" s="117" t="s">
        <v>121</v>
      </c>
      <c r="C30" s="118"/>
      <c r="D30" s="118">
        <v>2</v>
      </c>
      <c r="E30" s="117" t="s">
        <v>82</v>
      </c>
      <c r="F30" s="117"/>
      <c r="L30" s="117" t="s">
        <v>122</v>
      </c>
      <c r="M30" s="117"/>
      <c r="N30" s="117">
        <v>5</v>
      </c>
      <c r="O30" s="117" t="s">
        <v>82</v>
      </c>
      <c r="P30" s="117"/>
    </row>
    <row r="31" spans="2:20" ht="21" x14ac:dyDescent="0.25">
      <c r="B31" s="117" t="s">
        <v>123</v>
      </c>
      <c r="C31" s="118"/>
      <c r="D31" s="118">
        <v>3</v>
      </c>
      <c r="E31" s="117" t="s">
        <v>82</v>
      </c>
      <c r="F31" s="117"/>
      <c r="L31" s="117" t="s">
        <v>124</v>
      </c>
      <c r="M31" s="117"/>
      <c r="N31" s="117">
        <v>6</v>
      </c>
      <c r="O31" s="117" t="s">
        <v>82</v>
      </c>
      <c r="P31" s="117"/>
    </row>
  </sheetData>
  <mergeCells count="3">
    <mergeCell ref="B1:R1"/>
    <mergeCell ref="F6:J6"/>
    <mergeCell ref="P6:T6"/>
  </mergeCells>
  <pageMargins left="0.7" right="0.7" top="0.78740157499999996" bottom="0.78740157499999996" header="0.3" footer="0.3"/>
  <pageSetup paperSize="9" scale="5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30"/>
  <sheetViews>
    <sheetView workbookViewId="0">
      <selection activeCell="Q17" sqref="Q17:T21"/>
    </sheetView>
  </sheetViews>
  <sheetFormatPr baseColWidth="10" defaultRowHeight="18.75" x14ac:dyDescent="0.25"/>
  <cols>
    <col min="1" max="1" width="2.28515625" style="51" customWidth="1"/>
    <col min="2" max="2" width="20" style="51" customWidth="1"/>
    <col min="3" max="3" width="6.42578125" style="100" customWidth="1"/>
    <col min="4" max="4" width="7.42578125" style="100" customWidth="1"/>
    <col min="5" max="5" width="6.42578125" style="101" customWidth="1"/>
    <col min="6" max="6" width="4" style="51" customWidth="1"/>
    <col min="7" max="9" width="12.140625" style="51" customWidth="1"/>
    <col min="10" max="10" width="15.28515625" style="51" customWidth="1"/>
    <col min="11" max="11" width="15.28515625" style="105" customWidth="1"/>
    <col min="12" max="12" width="20" style="51" customWidth="1"/>
    <col min="13" max="13" width="6.42578125" style="101" customWidth="1"/>
    <col min="14" max="14" width="7.42578125" style="101" customWidth="1"/>
    <col min="15" max="15" width="6.28515625" style="101" customWidth="1"/>
    <col min="16" max="16" width="4" style="51" customWidth="1"/>
    <col min="17" max="19" width="12.140625" style="51" customWidth="1"/>
    <col min="20" max="21" width="15.28515625" style="51" customWidth="1"/>
    <col min="22" max="23" width="11.42578125" style="51"/>
    <col min="24" max="24" width="6.85546875" style="51" customWidth="1"/>
    <col min="25" max="256" width="11.42578125" style="51"/>
    <col min="257" max="257" width="10.140625" style="51" customWidth="1"/>
    <col min="258" max="258" width="20" style="51" customWidth="1"/>
    <col min="259" max="259" width="2.85546875" style="51" customWidth="1"/>
    <col min="260" max="261" width="4.5703125" style="51" customWidth="1"/>
    <col min="262" max="262" width="5.5703125" style="51" customWidth="1"/>
    <col min="263" max="265" width="11" style="51" customWidth="1"/>
    <col min="266" max="266" width="15.28515625" style="51" customWidth="1"/>
    <col min="267" max="267" width="1" style="51" customWidth="1"/>
    <col min="268" max="268" width="20" style="51" customWidth="1"/>
    <col min="269" max="269" width="2.85546875" style="51" customWidth="1"/>
    <col min="270" max="270" width="5.5703125" style="51" customWidth="1"/>
    <col min="271" max="271" width="4.5703125" style="51" customWidth="1"/>
    <col min="272" max="272" width="5.5703125" style="51" customWidth="1"/>
    <col min="273" max="274" width="11" style="51" customWidth="1"/>
    <col min="275" max="275" width="11.28515625" style="51" customWidth="1"/>
    <col min="276" max="276" width="15.28515625" style="51" customWidth="1"/>
    <col min="277" max="277" width="0.42578125" style="51" customWidth="1"/>
    <col min="278" max="279" width="11.42578125" style="51"/>
    <col min="280" max="280" width="6.85546875" style="51" customWidth="1"/>
    <col min="281" max="512" width="11.42578125" style="51"/>
    <col min="513" max="513" width="10.140625" style="51" customWidth="1"/>
    <col min="514" max="514" width="20" style="51" customWidth="1"/>
    <col min="515" max="515" width="2.85546875" style="51" customWidth="1"/>
    <col min="516" max="517" width="4.5703125" style="51" customWidth="1"/>
    <col min="518" max="518" width="5.5703125" style="51" customWidth="1"/>
    <col min="519" max="521" width="11" style="51" customWidth="1"/>
    <col min="522" max="522" width="15.28515625" style="51" customWidth="1"/>
    <col min="523" max="523" width="1" style="51" customWidth="1"/>
    <col min="524" max="524" width="20" style="51" customWidth="1"/>
    <col min="525" max="525" width="2.85546875" style="51" customWidth="1"/>
    <col min="526" max="526" width="5.5703125" style="51" customWidth="1"/>
    <col min="527" max="527" width="4.5703125" style="51" customWidth="1"/>
    <col min="528" max="528" width="5.5703125" style="51" customWidth="1"/>
    <col min="529" max="530" width="11" style="51" customWidth="1"/>
    <col min="531" max="531" width="11.28515625" style="51" customWidth="1"/>
    <col min="532" max="532" width="15.28515625" style="51" customWidth="1"/>
    <col min="533" max="533" width="0.42578125" style="51" customWidth="1"/>
    <col min="534" max="535" width="11.42578125" style="51"/>
    <col min="536" max="536" width="6.85546875" style="51" customWidth="1"/>
    <col min="537" max="768" width="11.42578125" style="51"/>
    <col min="769" max="769" width="10.140625" style="51" customWidth="1"/>
    <col min="770" max="770" width="20" style="51" customWidth="1"/>
    <col min="771" max="771" width="2.85546875" style="51" customWidth="1"/>
    <col min="772" max="773" width="4.5703125" style="51" customWidth="1"/>
    <col min="774" max="774" width="5.5703125" style="51" customWidth="1"/>
    <col min="775" max="777" width="11" style="51" customWidth="1"/>
    <col min="778" max="778" width="15.28515625" style="51" customWidth="1"/>
    <col min="779" max="779" width="1" style="51" customWidth="1"/>
    <col min="780" max="780" width="20" style="51" customWidth="1"/>
    <col min="781" max="781" width="2.85546875" style="51" customWidth="1"/>
    <col min="782" max="782" width="5.5703125" style="51" customWidth="1"/>
    <col min="783" max="783" width="4.5703125" style="51" customWidth="1"/>
    <col min="784" max="784" width="5.5703125" style="51" customWidth="1"/>
    <col min="785" max="786" width="11" style="51" customWidth="1"/>
    <col min="787" max="787" width="11.28515625" style="51" customWidth="1"/>
    <col min="788" max="788" width="15.28515625" style="51" customWidth="1"/>
    <col min="789" max="789" width="0.42578125" style="51" customWidth="1"/>
    <col min="790" max="791" width="11.42578125" style="51"/>
    <col min="792" max="792" width="6.85546875" style="51" customWidth="1"/>
    <col min="793" max="1024" width="11.42578125" style="51"/>
    <col min="1025" max="1025" width="10.140625" style="51" customWidth="1"/>
    <col min="1026" max="1026" width="20" style="51" customWidth="1"/>
    <col min="1027" max="1027" width="2.85546875" style="51" customWidth="1"/>
    <col min="1028" max="1029" width="4.5703125" style="51" customWidth="1"/>
    <col min="1030" max="1030" width="5.5703125" style="51" customWidth="1"/>
    <col min="1031" max="1033" width="11" style="51" customWidth="1"/>
    <col min="1034" max="1034" width="15.28515625" style="51" customWidth="1"/>
    <col min="1035" max="1035" width="1" style="51" customWidth="1"/>
    <col min="1036" max="1036" width="20" style="51" customWidth="1"/>
    <col min="1037" max="1037" width="2.85546875" style="51" customWidth="1"/>
    <col min="1038" max="1038" width="5.5703125" style="51" customWidth="1"/>
    <col min="1039" max="1039" width="4.5703125" style="51" customWidth="1"/>
    <col min="1040" max="1040" width="5.5703125" style="51" customWidth="1"/>
    <col min="1041" max="1042" width="11" style="51" customWidth="1"/>
    <col min="1043" max="1043" width="11.28515625" style="51" customWidth="1"/>
    <col min="1044" max="1044" width="15.28515625" style="51" customWidth="1"/>
    <col min="1045" max="1045" width="0.42578125" style="51" customWidth="1"/>
    <col min="1046" max="1047" width="11.42578125" style="51"/>
    <col min="1048" max="1048" width="6.85546875" style="51" customWidth="1"/>
    <col min="1049" max="1280" width="11.42578125" style="51"/>
    <col min="1281" max="1281" width="10.140625" style="51" customWidth="1"/>
    <col min="1282" max="1282" width="20" style="51" customWidth="1"/>
    <col min="1283" max="1283" width="2.85546875" style="51" customWidth="1"/>
    <col min="1284" max="1285" width="4.5703125" style="51" customWidth="1"/>
    <col min="1286" max="1286" width="5.5703125" style="51" customWidth="1"/>
    <col min="1287" max="1289" width="11" style="51" customWidth="1"/>
    <col min="1290" max="1290" width="15.28515625" style="51" customWidth="1"/>
    <col min="1291" max="1291" width="1" style="51" customWidth="1"/>
    <col min="1292" max="1292" width="20" style="51" customWidth="1"/>
    <col min="1293" max="1293" width="2.85546875" style="51" customWidth="1"/>
    <col min="1294" max="1294" width="5.5703125" style="51" customWidth="1"/>
    <col min="1295" max="1295" width="4.5703125" style="51" customWidth="1"/>
    <col min="1296" max="1296" width="5.5703125" style="51" customWidth="1"/>
    <col min="1297" max="1298" width="11" style="51" customWidth="1"/>
    <col min="1299" max="1299" width="11.28515625" style="51" customWidth="1"/>
    <col min="1300" max="1300" width="15.28515625" style="51" customWidth="1"/>
    <col min="1301" max="1301" width="0.42578125" style="51" customWidth="1"/>
    <col min="1302" max="1303" width="11.42578125" style="51"/>
    <col min="1304" max="1304" width="6.85546875" style="51" customWidth="1"/>
    <col min="1305" max="1536" width="11.42578125" style="51"/>
    <col min="1537" max="1537" width="10.140625" style="51" customWidth="1"/>
    <col min="1538" max="1538" width="20" style="51" customWidth="1"/>
    <col min="1539" max="1539" width="2.85546875" style="51" customWidth="1"/>
    <col min="1540" max="1541" width="4.5703125" style="51" customWidth="1"/>
    <col min="1542" max="1542" width="5.5703125" style="51" customWidth="1"/>
    <col min="1543" max="1545" width="11" style="51" customWidth="1"/>
    <col min="1546" max="1546" width="15.28515625" style="51" customWidth="1"/>
    <col min="1547" max="1547" width="1" style="51" customWidth="1"/>
    <col min="1548" max="1548" width="20" style="51" customWidth="1"/>
    <col min="1549" max="1549" width="2.85546875" style="51" customWidth="1"/>
    <col min="1550" max="1550" width="5.5703125" style="51" customWidth="1"/>
    <col min="1551" max="1551" width="4.5703125" style="51" customWidth="1"/>
    <col min="1552" max="1552" width="5.5703125" style="51" customWidth="1"/>
    <col min="1553" max="1554" width="11" style="51" customWidth="1"/>
    <col min="1555" max="1555" width="11.28515625" style="51" customWidth="1"/>
    <col min="1556" max="1556" width="15.28515625" style="51" customWidth="1"/>
    <col min="1557" max="1557" width="0.42578125" style="51" customWidth="1"/>
    <col min="1558" max="1559" width="11.42578125" style="51"/>
    <col min="1560" max="1560" width="6.85546875" style="51" customWidth="1"/>
    <col min="1561" max="1792" width="11.42578125" style="51"/>
    <col min="1793" max="1793" width="10.140625" style="51" customWidth="1"/>
    <col min="1794" max="1794" width="20" style="51" customWidth="1"/>
    <col min="1795" max="1795" width="2.85546875" style="51" customWidth="1"/>
    <col min="1796" max="1797" width="4.5703125" style="51" customWidth="1"/>
    <col min="1798" max="1798" width="5.5703125" style="51" customWidth="1"/>
    <col min="1799" max="1801" width="11" style="51" customWidth="1"/>
    <col min="1802" max="1802" width="15.28515625" style="51" customWidth="1"/>
    <col min="1803" max="1803" width="1" style="51" customWidth="1"/>
    <col min="1804" max="1804" width="20" style="51" customWidth="1"/>
    <col min="1805" max="1805" width="2.85546875" style="51" customWidth="1"/>
    <col min="1806" max="1806" width="5.5703125" style="51" customWidth="1"/>
    <col min="1807" max="1807" width="4.5703125" style="51" customWidth="1"/>
    <col min="1808" max="1808" width="5.5703125" style="51" customWidth="1"/>
    <col min="1809" max="1810" width="11" style="51" customWidth="1"/>
    <col min="1811" max="1811" width="11.28515625" style="51" customWidth="1"/>
    <col min="1812" max="1812" width="15.28515625" style="51" customWidth="1"/>
    <col min="1813" max="1813" width="0.42578125" style="51" customWidth="1"/>
    <col min="1814" max="1815" width="11.42578125" style="51"/>
    <col min="1816" max="1816" width="6.85546875" style="51" customWidth="1"/>
    <col min="1817" max="2048" width="11.42578125" style="51"/>
    <col min="2049" max="2049" width="10.140625" style="51" customWidth="1"/>
    <col min="2050" max="2050" width="20" style="51" customWidth="1"/>
    <col min="2051" max="2051" width="2.85546875" style="51" customWidth="1"/>
    <col min="2052" max="2053" width="4.5703125" style="51" customWidth="1"/>
    <col min="2054" max="2054" width="5.5703125" style="51" customWidth="1"/>
    <col min="2055" max="2057" width="11" style="51" customWidth="1"/>
    <col min="2058" max="2058" width="15.28515625" style="51" customWidth="1"/>
    <col min="2059" max="2059" width="1" style="51" customWidth="1"/>
    <col min="2060" max="2060" width="20" style="51" customWidth="1"/>
    <col min="2061" max="2061" width="2.85546875" style="51" customWidth="1"/>
    <col min="2062" max="2062" width="5.5703125" style="51" customWidth="1"/>
    <col min="2063" max="2063" width="4.5703125" style="51" customWidth="1"/>
    <col min="2064" max="2064" width="5.5703125" style="51" customWidth="1"/>
    <col min="2065" max="2066" width="11" style="51" customWidth="1"/>
    <col min="2067" max="2067" width="11.28515625" style="51" customWidth="1"/>
    <col min="2068" max="2068" width="15.28515625" style="51" customWidth="1"/>
    <col min="2069" max="2069" width="0.42578125" style="51" customWidth="1"/>
    <col min="2070" max="2071" width="11.42578125" style="51"/>
    <col min="2072" max="2072" width="6.85546875" style="51" customWidth="1"/>
    <col min="2073" max="2304" width="11.42578125" style="51"/>
    <col min="2305" max="2305" width="10.140625" style="51" customWidth="1"/>
    <col min="2306" max="2306" width="20" style="51" customWidth="1"/>
    <col min="2307" max="2307" width="2.85546875" style="51" customWidth="1"/>
    <col min="2308" max="2309" width="4.5703125" style="51" customWidth="1"/>
    <col min="2310" max="2310" width="5.5703125" style="51" customWidth="1"/>
    <col min="2311" max="2313" width="11" style="51" customWidth="1"/>
    <col min="2314" max="2314" width="15.28515625" style="51" customWidth="1"/>
    <col min="2315" max="2315" width="1" style="51" customWidth="1"/>
    <col min="2316" max="2316" width="20" style="51" customWidth="1"/>
    <col min="2317" max="2317" width="2.85546875" style="51" customWidth="1"/>
    <col min="2318" max="2318" width="5.5703125" style="51" customWidth="1"/>
    <col min="2319" max="2319" width="4.5703125" style="51" customWidth="1"/>
    <col min="2320" max="2320" width="5.5703125" style="51" customWidth="1"/>
    <col min="2321" max="2322" width="11" style="51" customWidth="1"/>
    <col min="2323" max="2323" width="11.28515625" style="51" customWidth="1"/>
    <col min="2324" max="2324" width="15.28515625" style="51" customWidth="1"/>
    <col min="2325" max="2325" width="0.42578125" style="51" customWidth="1"/>
    <col min="2326" max="2327" width="11.42578125" style="51"/>
    <col min="2328" max="2328" width="6.85546875" style="51" customWidth="1"/>
    <col min="2329" max="2560" width="11.42578125" style="51"/>
    <col min="2561" max="2561" width="10.140625" style="51" customWidth="1"/>
    <col min="2562" max="2562" width="20" style="51" customWidth="1"/>
    <col min="2563" max="2563" width="2.85546875" style="51" customWidth="1"/>
    <col min="2564" max="2565" width="4.5703125" style="51" customWidth="1"/>
    <col min="2566" max="2566" width="5.5703125" style="51" customWidth="1"/>
    <col min="2567" max="2569" width="11" style="51" customWidth="1"/>
    <col min="2570" max="2570" width="15.28515625" style="51" customWidth="1"/>
    <col min="2571" max="2571" width="1" style="51" customWidth="1"/>
    <col min="2572" max="2572" width="20" style="51" customWidth="1"/>
    <col min="2573" max="2573" width="2.85546875" style="51" customWidth="1"/>
    <col min="2574" max="2574" width="5.5703125" style="51" customWidth="1"/>
    <col min="2575" max="2575" width="4.5703125" style="51" customWidth="1"/>
    <col min="2576" max="2576" width="5.5703125" style="51" customWidth="1"/>
    <col min="2577" max="2578" width="11" style="51" customWidth="1"/>
    <col min="2579" max="2579" width="11.28515625" style="51" customWidth="1"/>
    <col min="2580" max="2580" width="15.28515625" style="51" customWidth="1"/>
    <col min="2581" max="2581" width="0.42578125" style="51" customWidth="1"/>
    <col min="2582" max="2583" width="11.42578125" style="51"/>
    <col min="2584" max="2584" width="6.85546875" style="51" customWidth="1"/>
    <col min="2585" max="2816" width="11.42578125" style="51"/>
    <col min="2817" max="2817" width="10.140625" style="51" customWidth="1"/>
    <col min="2818" max="2818" width="20" style="51" customWidth="1"/>
    <col min="2819" max="2819" width="2.85546875" style="51" customWidth="1"/>
    <col min="2820" max="2821" width="4.5703125" style="51" customWidth="1"/>
    <col min="2822" max="2822" width="5.5703125" style="51" customWidth="1"/>
    <col min="2823" max="2825" width="11" style="51" customWidth="1"/>
    <col min="2826" max="2826" width="15.28515625" style="51" customWidth="1"/>
    <col min="2827" max="2827" width="1" style="51" customWidth="1"/>
    <col min="2828" max="2828" width="20" style="51" customWidth="1"/>
    <col min="2829" max="2829" width="2.85546875" style="51" customWidth="1"/>
    <col min="2830" max="2830" width="5.5703125" style="51" customWidth="1"/>
    <col min="2831" max="2831" width="4.5703125" style="51" customWidth="1"/>
    <col min="2832" max="2832" width="5.5703125" style="51" customWidth="1"/>
    <col min="2833" max="2834" width="11" style="51" customWidth="1"/>
    <col min="2835" max="2835" width="11.28515625" style="51" customWidth="1"/>
    <col min="2836" max="2836" width="15.28515625" style="51" customWidth="1"/>
    <col min="2837" max="2837" width="0.42578125" style="51" customWidth="1"/>
    <col min="2838" max="2839" width="11.42578125" style="51"/>
    <col min="2840" max="2840" width="6.85546875" style="51" customWidth="1"/>
    <col min="2841" max="3072" width="11.42578125" style="51"/>
    <col min="3073" max="3073" width="10.140625" style="51" customWidth="1"/>
    <col min="3074" max="3074" width="20" style="51" customWidth="1"/>
    <col min="3075" max="3075" width="2.85546875" style="51" customWidth="1"/>
    <col min="3076" max="3077" width="4.5703125" style="51" customWidth="1"/>
    <col min="3078" max="3078" width="5.5703125" style="51" customWidth="1"/>
    <col min="3079" max="3081" width="11" style="51" customWidth="1"/>
    <col min="3082" max="3082" width="15.28515625" style="51" customWidth="1"/>
    <col min="3083" max="3083" width="1" style="51" customWidth="1"/>
    <col min="3084" max="3084" width="20" style="51" customWidth="1"/>
    <col min="3085" max="3085" width="2.85546875" style="51" customWidth="1"/>
    <col min="3086" max="3086" width="5.5703125" style="51" customWidth="1"/>
    <col min="3087" max="3087" width="4.5703125" style="51" customWidth="1"/>
    <col min="3088" max="3088" width="5.5703125" style="51" customWidth="1"/>
    <col min="3089" max="3090" width="11" style="51" customWidth="1"/>
    <col min="3091" max="3091" width="11.28515625" style="51" customWidth="1"/>
    <col min="3092" max="3092" width="15.28515625" style="51" customWidth="1"/>
    <col min="3093" max="3093" width="0.42578125" style="51" customWidth="1"/>
    <col min="3094" max="3095" width="11.42578125" style="51"/>
    <col min="3096" max="3096" width="6.85546875" style="51" customWidth="1"/>
    <col min="3097" max="3328" width="11.42578125" style="51"/>
    <col min="3329" max="3329" width="10.140625" style="51" customWidth="1"/>
    <col min="3330" max="3330" width="20" style="51" customWidth="1"/>
    <col min="3331" max="3331" width="2.85546875" style="51" customWidth="1"/>
    <col min="3332" max="3333" width="4.5703125" style="51" customWidth="1"/>
    <col min="3334" max="3334" width="5.5703125" style="51" customWidth="1"/>
    <col min="3335" max="3337" width="11" style="51" customWidth="1"/>
    <col min="3338" max="3338" width="15.28515625" style="51" customWidth="1"/>
    <col min="3339" max="3339" width="1" style="51" customWidth="1"/>
    <col min="3340" max="3340" width="20" style="51" customWidth="1"/>
    <col min="3341" max="3341" width="2.85546875" style="51" customWidth="1"/>
    <col min="3342" max="3342" width="5.5703125" style="51" customWidth="1"/>
    <col min="3343" max="3343" width="4.5703125" style="51" customWidth="1"/>
    <col min="3344" max="3344" width="5.5703125" style="51" customWidth="1"/>
    <col min="3345" max="3346" width="11" style="51" customWidth="1"/>
    <col min="3347" max="3347" width="11.28515625" style="51" customWidth="1"/>
    <col min="3348" max="3348" width="15.28515625" style="51" customWidth="1"/>
    <col min="3349" max="3349" width="0.42578125" style="51" customWidth="1"/>
    <col min="3350" max="3351" width="11.42578125" style="51"/>
    <col min="3352" max="3352" width="6.85546875" style="51" customWidth="1"/>
    <col min="3353" max="3584" width="11.42578125" style="51"/>
    <col min="3585" max="3585" width="10.140625" style="51" customWidth="1"/>
    <col min="3586" max="3586" width="20" style="51" customWidth="1"/>
    <col min="3587" max="3587" width="2.85546875" style="51" customWidth="1"/>
    <col min="3588" max="3589" width="4.5703125" style="51" customWidth="1"/>
    <col min="3590" max="3590" width="5.5703125" style="51" customWidth="1"/>
    <col min="3591" max="3593" width="11" style="51" customWidth="1"/>
    <col min="3594" max="3594" width="15.28515625" style="51" customWidth="1"/>
    <col min="3595" max="3595" width="1" style="51" customWidth="1"/>
    <col min="3596" max="3596" width="20" style="51" customWidth="1"/>
    <col min="3597" max="3597" width="2.85546875" style="51" customWidth="1"/>
    <col min="3598" max="3598" width="5.5703125" style="51" customWidth="1"/>
    <col min="3599" max="3599" width="4.5703125" style="51" customWidth="1"/>
    <col min="3600" max="3600" width="5.5703125" style="51" customWidth="1"/>
    <col min="3601" max="3602" width="11" style="51" customWidth="1"/>
    <col min="3603" max="3603" width="11.28515625" style="51" customWidth="1"/>
    <col min="3604" max="3604" width="15.28515625" style="51" customWidth="1"/>
    <col min="3605" max="3605" width="0.42578125" style="51" customWidth="1"/>
    <col min="3606" max="3607" width="11.42578125" style="51"/>
    <col min="3608" max="3608" width="6.85546875" style="51" customWidth="1"/>
    <col min="3609" max="3840" width="11.42578125" style="51"/>
    <col min="3841" max="3841" width="10.140625" style="51" customWidth="1"/>
    <col min="3842" max="3842" width="20" style="51" customWidth="1"/>
    <col min="3843" max="3843" width="2.85546875" style="51" customWidth="1"/>
    <col min="3844" max="3845" width="4.5703125" style="51" customWidth="1"/>
    <col min="3846" max="3846" width="5.5703125" style="51" customWidth="1"/>
    <col min="3847" max="3849" width="11" style="51" customWidth="1"/>
    <col min="3850" max="3850" width="15.28515625" style="51" customWidth="1"/>
    <col min="3851" max="3851" width="1" style="51" customWidth="1"/>
    <col min="3852" max="3852" width="20" style="51" customWidth="1"/>
    <col min="3853" max="3853" width="2.85546875" style="51" customWidth="1"/>
    <col min="3854" max="3854" width="5.5703125" style="51" customWidth="1"/>
    <col min="3855" max="3855" width="4.5703125" style="51" customWidth="1"/>
    <col min="3856" max="3856" width="5.5703125" style="51" customWidth="1"/>
    <col min="3857" max="3858" width="11" style="51" customWidth="1"/>
    <col min="3859" max="3859" width="11.28515625" style="51" customWidth="1"/>
    <col min="3860" max="3860" width="15.28515625" style="51" customWidth="1"/>
    <col min="3861" max="3861" width="0.42578125" style="51" customWidth="1"/>
    <col min="3862" max="3863" width="11.42578125" style="51"/>
    <col min="3864" max="3864" width="6.85546875" style="51" customWidth="1"/>
    <col min="3865" max="4096" width="11.42578125" style="51"/>
    <col min="4097" max="4097" width="10.140625" style="51" customWidth="1"/>
    <col min="4098" max="4098" width="20" style="51" customWidth="1"/>
    <col min="4099" max="4099" width="2.85546875" style="51" customWidth="1"/>
    <col min="4100" max="4101" width="4.5703125" style="51" customWidth="1"/>
    <col min="4102" max="4102" width="5.5703125" style="51" customWidth="1"/>
    <col min="4103" max="4105" width="11" style="51" customWidth="1"/>
    <col min="4106" max="4106" width="15.28515625" style="51" customWidth="1"/>
    <col min="4107" max="4107" width="1" style="51" customWidth="1"/>
    <col min="4108" max="4108" width="20" style="51" customWidth="1"/>
    <col min="4109" max="4109" width="2.85546875" style="51" customWidth="1"/>
    <col min="4110" max="4110" width="5.5703125" style="51" customWidth="1"/>
    <col min="4111" max="4111" width="4.5703125" style="51" customWidth="1"/>
    <col min="4112" max="4112" width="5.5703125" style="51" customWidth="1"/>
    <col min="4113" max="4114" width="11" style="51" customWidth="1"/>
    <col min="4115" max="4115" width="11.28515625" style="51" customWidth="1"/>
    <col min="4116" max="4116" width="15.28515625" style="51" customWidth="1"/>
    <col min="4117" max="4117" width="0.42578125" style="51" customWidth="1"/>
    <col min="4118" max="4119" width="11.42578125" style="51"/>
    <col min="4120" max="4120" width="6.85546875" style="51" customWidth="1"/>
    <col min="4121" max="4352" width="11.42578125" style="51"/>
    <col min="4353" max="4353" width="10.140625" style="51" customWidth="1"/>
    <col min="4354" max="4354" width="20" style="51" customWidth="1"/>
    <col min="4355" max="4355" width="2.85546875" style="51" customWidth="1"/>
    <col min="4356" max="4357" width="4.5703125" style="51" customWidth="1"/>
    <col min="4358" max="4358" width="5.5703125" style="51" customWidth="1"/>
    <col min="4359" max="4361" width="11" style="51" customWidth="1"/>
    <col min="4362" max="4362" width="15.28515625" style="51" customWidth="1"/>
    <col min="4363" max="4363" width="1" style="51" customWidth="1"/>
    <col min="4364" max="4364" width="20" style="51" customWidth="1"/>
    <col min="4365" max="4365" width="2.85546875" style="51" customWidth="1"/>
    <col min="4366" max="4366" width="5.5703125" style="51" customWidth="1"/>
    <col min="4367" max="4367" width="4.5703125" style="51" customWidth="1"/>
    <col min="4368" max="4368" width="5.5703125" style="51" customWidth="1"/>
    <col min="4369" max="4370" width="11" style="51" customWidth="1"/>
    <col min="4371" max="4371" width="11.28515625" style="51" customWidth="1"/>
    <col min="4372" max="4372" width="15.28515625" style="51" customWidth="1"/>
    <col min="4373" max="4373" width="0.42578125" style="51" customWidth="1"/>
    <col min="4374" max="4375" width="11.42578125" style="51"/>
    <col min="4376" max="4376" width="6.85546875" style="51" customWidth="1"/>
    <col min="4377" max="4608" width="11.42578125" style="51"/>
    <col min="4609" max="4609" width="10.140625" style="51" customWidth="1"/>
    <col min="4610" max="4610" width="20" style="51" customWidth="1"/>
    <col min="4611" max="4611" width="2.85546875" style="51" customWidth="1"/>
    <col min="4612" max="4613" width="4.5703125" style="51" customWidth="1"/>
    <col min="4614" max="4614" width="5.5703125" style="51" customWidth="1"/>
    <col min="4615" max="4617" width="11" style="51" customWidth="1"/>
    <col min="4618" max="4618" width="15.28515625" style="51" customWidth="1"/>
    <col min="4619" max="4619" width="1" style="51" customWidth="1"/>
    <col min="4620" max="4620" width="20" style="51" customWidth="1"/>
    <col min="4621" max="4621" width="2.85546875" style="51" customWidth="1"/>
    <col min="4622" max="4622" width="5.5703125" style="51" customWidth="1"/>
    <col min="4623" max="4623" width="4.5703125" style="51" customWidth="1"/>
    <col min="4624" max="4624" width="5.5703125" style="51" customWidth="1"/>
    <col min="4625" max="4626" width="11" style="51" customWidth="1"/>
    <col min="4627" max="4627" width="11.28515625" style="51" customWidth="1"/>
    <col min="4628" max="4628" width="15.28515625" style="51" customWidth="1"/>
    <col min="4629" max="4629" width="0.42578125" style="51" customWidth="1"/>
    <col min="4630" max="4631" width="11.42578125" style="51"/>
    <col min="4632" max="4632" width="6.85546875" style="51" customWidth="1"/>
    <col min="4633" max="4864" width="11.42578125" style="51"/>
    <col min="4865" max="4865" width="10.140625" style="51" customWidth="1"/>
    <col min="4866" max="4866" width="20" style="51" customWidth="1"/>
    <col min="4867" max="4867" width="2.85546875" style="51" customWidth="1"/>
    <col min="4868" max="4869" width="4.5703125" style="51" customWidth="1"/>
    <col min="4870" max="4870" width="5.5703125" style="51" customWidth="1"/>
    <col min="4871" max="4873" width="11" style="51" customWidth="1"/>
    <col min="4874" max="4874" width="15.28515625" style="51" customWidth="1"/>
    <col min="4875" max="4875" width="1" style="51" customWidth="1"/>
    <col min="4876" max="4876" width="20" style="51" customWidth="1"/>
    <col min="4877" max="4877" width="2.85546875" style="51" customWidth="1"/>
    <col min="4878" max="4878" width="5.5703125" style="51" customWidth="1"/>
    <col min="4879" max="4879" width="4.5703125" style="51" customWidth="1"/>
    <col min="4880" max="4880" width="5.5703125" style="51" customWidth="1"/>
    <col min="4881" max="4882" width="11" style="51" customWidth="1"/>
    <col min="4883" max="4883" width="11.28515625" style="51" customWidth="1"/>
    <col min="4884" max="4884" width="15.28515625" style="51" customWidth="1"/>
    <col min="4885" max="4885" width="0.42578125" style="51" customWidth="1"/>
    <col min="4886" max="4887" width="11.42578125" style="51"/>
    <col min="4888" max="4888" width="6.85546875" style="51" customWidth="1"/>
    <col min="4889" max="5120" width="11.42578125" style="51"/>
    <col min="5121" max="5121" width="10.140625" style="51" customWidth="1"/>
    <col min="5122" max="5122" width="20" style="51" customWidth="1"/>
    <col min="5123" max="5123" width="2.85546875" style="51" customWidth="1"/>
    <col min="5124" max="5125" width="4.5703125" style="51" customWidth="1"/>
    <col min="5126" max="5126" width="5.5703125" style="51" customWidth="1"/>
    <col min="5127" max="5129" width="11" style="51" customWidth="1"/>
    <col min="5130" max="5130" width="15.28515625" style="51" customWidth="1"/>
    <col min="5131" max="5131" width="1" style="51" customWidth="1"/>
    <col min="5132" max="5132" width="20" style="51" customWidth="1"/>
    <col min="5133" max="5133" width="2.85546875" style="51" customWidth="1"/>
    <col min="5134" max="5134" width="5.5703125" style="51" customWidth="1"/>
    <col min="5135" max="5135" width="4.5703125" style="51" customWidth="1"/>
    <col min="5136" max="5136" width="5.5703125" style="51" customWidth="1"/>
    <col min="5137" max="5138" width="11" style="51" customWidth="1"/>
    <col min="5139" max="5139" width="11.28515625" style="51" customWidth="1"/>
    <col min="5140" max="5140" width="15.28515625" style="51" customWidth="1"/>
    <col min="5141" max="5141" width="0.42578125" style="51" customWidth="1"/>
    <col min="5142" max="5143" width="11.42578125" style="51"/>
    <col min="5144" max="5144" width="6.85546875" style="51" customWidth="1"/>
    <col min="5145" max="5376" width="11.42578125" style="51"/>
    <col min="5377" max="5377" width="10.140625" style="51" customWidth="1"/>
    <col min="5378" max="5378" width="20" style="51" customWidth="1"/>
    <col min="5379" max="5379" width="2.85546875" style="51" customWidth="1"/>
    <col min="5380" max="5381" width="4.5703125" style="51" customWidth="1"/>
    <col min="5382" max="5382" width="5.5703125" style="51" customWidth="1"/>
    <col min="5383" max="5385" width="11" style="51" customWidth="1"/>
    <col min="5386" max="5386" width="15.28515625" style="51" customWidth="1"/>
    <col min="5387" max="5387" width="1" style="51" customWidth="1"/>
    <col min="5388" max="5388" width="20" style="51" customWidth="1"/>
    <col min="5389" max="5389" width="2.85546875" style="51" customWidth="1"/>
    <col min="5390" max="5390" width="5.5703125" style="51" customWidth="1"/>
    <col min="5391" max="5391" width="4.5703125" style="51" customWidth="1"/>
    <col min="5392" max="5392" width="5.5703125" style="51" customWidth="1"/>
    <col min="5393" max="5394" width="11" style="51" customWidth="1"/>
    <col min="5395" max="5395" width="11.28515625" style="51" customWidth="1"/>
    <col min="5396" max="5396" width="15.28515625" style="51" customWidth="1"/>
    <col min="5397" max="5397" width="0.42578125" style="51" customWidth="1"/>
    <col min="5398" max="5399" width="11.42578125" style="51"/>
    <col min="5400" max="5400" width="6.85546875" style="51" customWidth="1"/>
    <col min="5401" max="5632" width="11.42578125" style="51"/>
    <col min="5633" max="5633" width="10.140625" style="51" customWidth="1"/>
    <col min="5634" max="5634" width="20" style="51" customWidth="1"/>
    <col min="5635" max="5635" width="2.85546875" style="51" customWidth="1"/>
    <col min="5636" max="5637" width="4.5703125" style="51" customWidth="1"/>
    <col min="5638" max="5638" width="5.5703125" style="51" customWidth="1"/>
    <col min="5639" max="5641" width="11" style="51" customWidth="1"/>
    <col min="5642" max="5642" width="15.28515625" style="51" customWidth="1"/>
    <col min="5643" max="5643" width="1" style="51" customWidth="1"/>
    <col min="5644" max="5644" width="20" style="51" customWidth="1"/>
    <col min="5645" max="5645" width="2.85546875" style="51" customWidth="1"/>
    <col min="5646" max="5646" width="5.5703125" style="51" customWidth="1"/>
    <col min="5647" max="5647" width="4.5703125" style="51" customWidth="1"/>
    <col min="5648" max="5648" width="5.5703125" style="51" customWidth="1"/>
    <col min="5649" max="5650" width="11" style="51" customWidth="1"/>
    <col min="5651" max="5651" width="11.28515625" style="51" customWidth="1"/>
    <col min="5652" max="5652" width="15.28515625" style="51" customWidth="1"/>
    <col min="5653" max="5653" width="0.42578125" style="51" customWidth="1"/>
    <col min="5654" max="5655" width="11.42578125" style="51"/>
    <col min="5656" max="5656" width="6.85546875" style="51" customWidth="1"/>
    <col min="5657" max="5888" width="11.42578125" style="51"/>
    <col min="5889" max="5889" width="10.140625" style="51" customWidth="1"/>
    <col min="5890" max="5890" width="20" style="51" customWidth="1"/>
    <col min="5891" max="5891" width="2.85546875" style="51" customWidth="1"/>
    <col min="5892" max="5893" width="4.5703125" style="51" customWidth="1"/>
    <col min="5894" max="5894" width="5.5703125" style="51" customWidth="1"/>
    <col min="5895" max="5897" width="11" style="51" customWidth="1"/>
    <col min="5898" max="5898" width="15.28515625" style="51" customWidth="1"/>
    <col min="5899" max="5899" width="1" style="51" customWidth="1"/>
    <col min="5900" max="5900" width="20" style="51" customWidth="1"/>
    <col min="5901" max="5901" width="2.85546875" style="51" customWidth="1"/>
    <col min="5902" max="5902" width="5.5703125" style="51" customWidth="1"/>
    <col min="5903" max="5903" width="4.5703125" style="51" customWidth="1"/>
    <col min="5904" max="5904" width="5.5703125" style="51" customWidth="1"/>
    <col min="5905" max="5906" width="11" style="51" customWidth="1"/>
    <col min="5907" max="5907" width="11.28515625" style="51" customWidth="1"/>
    <col min="5908" max="5908" width="15.28515625" style="51" customWidth="1"/>
    <col min="5909" max="5909" width="0.42578125" style="51" customWidth="1"/>
    <col min="5910" max="5911" width="11.42578125" style="51"/>
    <col min="5912" max="5912" width="6.85546875" style="51" customWidth="1"/>
    <col min="5913" max="6144" width="11.42578125" style="51"/>
    <col min="6145" max="6145" width="10.140625" style="51" customWidth="1"/>
    <col min="6146" max="6146" width="20" style="51" customWidth="1"/>
    <col min="6147" max="6147" width="2.85546875" style="51" customWidth="1"/>
    <col min="6148" max="6149" width="4.5703125" style="51" customWidth="1"/>
    <col min="6150" max="6150" width="5.5703125" style="51" customWidth="1"/>
    <col min="6151" max="6153" width="11" style="51" customWidth="1"/>
    <col min="6154" max="6154" width="15.28515625" style="51" customWidth="1"/>
    <col min="6155" max="6155" width="1" style="51" customWidth="1"/>
    <col min="6156" max="6156" width="20" style="51" customWidth="1"/>
    <col min="6157" max="6157" width="2.85546875" style="51" customWidth="1"/>
    <col min="6158" max="6158" width="5.5703125" style="51" customWidth="1"/>
    <col min="6159" max="6159" width="4.5703125" style="51" customWidth="1"/>
    <col min="6160" max="6160" width="5.5703125" style="51" customWidth="1"/>
    <col min="6161" max="6162" width="11" style="51" customWidth="1"/>
    <col min="6163" max="6163" width="11.28515625" style="51" customWidth="1"/>
    <col min="6164" max="6164" width="15.28515625" style="51" customWidth="1"/>
    <col min="6165" max="6165" width="0.42578125" style="51" customWidth="1"/>
    <col min="6166" max="6167" width="11.42578125" style="51"/>
    <col min="6168" max="6168" width="6.85546875" style="51" customWidth="1"/>
    <col min="6169" max="6400" width="11.42578125" style="51"/>
    <col min="6401" max="6401" width="10.140625" style="51" customWidth="1"/>
    <col min="6402" max="6402" width="20" style="51" customWidth="1"/>
    <col min="6403" max="6403" width="2.85546875" style="51" customWidth="1"/>
    <col min="6404" max="6405" width="4.5703125" style="51" customWidth="1"/>
    <col min="6406" max="6406" width="5.5703125" style="51" customWidth="1"/>
    <col min="6407" max="6409" width="11" style="51" customWidth="1"/>
    <col min="6410" max="6410" width="15.28515625" style="51" customWidth="1"/>
    <col min="6411" max="6411" width="1" style="51" customWidth="1"/>
    <col min="6412" max="6412" width="20" style="51" customWidth="1"/>
    <col min="6413" max="6413" width="2.85546875" style="51" customWidth="1"/>
    <col min="6414" max="6414" width="5.5703125" style="51" customWidth="1"/>
    <col min="6415" max="6415" width="4.5703125" style="51" customWidth="1"/>
    <col min="6416" max="6416" width="5.5703125" style="51" customWidth="1"/>
    <col min="6417" max="6418" width="11" style="51" customWidth="1"/>
    <col min="6419" max="6419" width="11.28515625" style="51" customWidth="1"/>
    <col min="6420" max="6420" width="15.28515625" style="51" customWidth="1"/>
    <col min="6421" max="6421" width="0.42578125" style="51" customWidth="1"/>
    <col min="6422" max="6423" width="11.42578125" style="51"/>
    <col min="6424" max="6424" width="6.85546875" style="51" customWidth="1"/>
    <col min="6425" max="6656" width="11.42578125" style="51"/>
    <col min="6657" max="6657" width="10.140625" style="51" customWidth="1"/>
    <col min="6658" max="6658" width="20" style="51" customWidth="1"/>
    <col min="6659" max="6659" width="2.85546875" style="51" customWidth="1"/>
    <col min="6660" max="6661" width="4.5703125" style="51" customWidth="1"/>
    <col min="6662" max="6662" width="5.5703125" style="51" customWidth="1"/>
    <col min="6663" max="6665" width="11" style="51" customWidth="1"/>
    <col min="6666" max="6666" width="15.28515625" style="51" customWidth="1"/>
    <col min="6667" max="6667" width="1" style="51" customWidth="1"/>
    <col min="6668" max="6668" width="20" style="51" customWidth="1"/>
    <col min="6669" max="6669" width="2.85546875" style="51" customWidth="1"/>
    <col min="6670" max="6670" width="5.5703125" style="51" customWidth="1"/>
    <col min="6671" max="6671" width="4.5703125" style="51" customWidth="1"/>
    <col min="6672" max="6672" width="5.5703125" style="51" customWidth="1"/>
    <col min="6673" max="6674" width="11" style="51" customWidth="1"/>
    <col min="6675" max="6675" width="11.28515625" style="51" customWidth="1"/>
    <col min="6676" max="6676" width="15.28515625" style="51" customWidth="1"/>
    <col min="6677" max="6677" width="0.42578125" style="51" customWidth="1"/>
    <col min="6678" max="6679" width="11.42578125" style="51"/>
    <col min="6680" max="6680" width="6.85546875" style="51" customWidth="1"/>
    <col min="6681" max="6912" width="11.42578125" style="51"/>
    <col min="6913" max="6913" width="10.140625" style="51" customWidth="1"/>
    <col min="6914" max="6914" width="20" style="51" customWidth="1"/>
    <col min="6915" max="6915" width="2.85546875" style="51" customWidth="1"/>
    <col min="6916" max="6917" width="4.5703125" style="51" customWidth="1"/>
    <col min="6918" max="6918" width="5.5703125" style="51" customWidth="1"/>
    <col min="6919" max="6921" width="11" style="51" customWidth="1"/>
    <col min="6922" max="6922" width="15.28515625" style="51" customWidth="1"/>
    <col min="6923" max="6923" width="1" style="51" customWidth="1"/>
    <col min="6924" max="6924" width="20" style="51" customWidth="1"/>
    <col min="6925" max="6925" width="2.85546875" style="51" customWidth="1"/>
    <col min="6926" max="6926" width="5.5703125" style="51" customWidth="1"/>
    <col min="6927" max="6927" width="4.5703125" style="51" customWidth="1"/>
    <col min="6928" max="6928" width="5.5703125" style="51" customWidth="1"/>
    <col min="6929" max="6930" width="11" style="51" customWidth="1"/>
    <col min="6931" max="6931" width="11.28515625" style="51" customWidth="1"/>
    <col min="6932" max="6932" width="15.28515625" style="51" customWidth="1"/>
    <col min="6933" max="6933" width="0.42578125" style="51" customWidth="1"/>
    <col min="6934" max="6935" width="11.42578125" style="51"/>
    <col min="6936" max="6936" width="6.85546875" style="51" customWidth="1"/>
    <col min="6937" max="7168" width="11.42578125" style="51"/>
    <col min="7169" max="7169" width="10.140625" style="51" customWidth="1"/>
    <col min="7170" max="7170" width="20" style="51" customWidth="1"/>
    <col min="7171" max="7171" width="2.85546875" style="51" customWidth="1"/>
    <col min="7172" max="7173" width="4.5703125" style="51" customWidth="1"/>
    <col min="7174" max="7174" width="5.5703125" style="51" customWidth="1"/>
    <col min="7175" max="7177" width="11" style="51" customWidth="1"/>
    <col min="7178" max="7178" width="15.28515625" style="51" customWidth="1"/>
    <col min="7179" max="7179" width="1" style="51" customWidth="1"/>
    <col min="7180" max="7180" width="20" style="51" customWidth="1"/>
    <col min="7181" max="7181" width="2.85546875" style="51" customWidth="1"/>
    <col min="7182" max="7182" width="5.5703125" style="51" customWidth="1"/>
    <col min="7183" max="7183" width="4.5703125" style="51" customWidth="1"/>
    <col min="7184" max="7184" width="5.5703125" style="51" customWidth="1"/>
    <col min="7185" max="7186" width="11" style="51" customWidth="1"/>
    <col min="7187" max="7187" width="11.28515625" style="51" customWidth="1"/>
    <col min="7188" max="7188" width="15.28515625" style="51" customWidth="1"/>
    <col min="7189" max="7189" width="0.42578125" style="51" customWidth="1"/>
    <col min="7190" max="7191" width="11.42578125" style="51"/>
    <col min="7192" max="7192" width="6.85546875" style="51" customWidth="1"/>
    <col min="7193" max="7424" width="11.42578125" style="51"/>
    <col min="7425" max="7425" width="10.140625" style="51" customWidth="1"/>
    <col min="7426" max="7426" width="20" style="51" customWidth="1"/>
    <col min="7427" max="7427" width="2.85546875" style="51" customWidth="1"/>
    <col min="7428" max="7429" width="4.5703125" style="51" customWidth="1"/>
    <col min="7430" max="7430" width="5.5703125" style="51" customWidth="1"/>
    <col min="7431" max="7433" width="11" style="51" customWidth="1"/>
    <col min="7434" max="7434" width="15.28515625" style="51" customWidth="1"/>
    <col min="7435" max="7435" width="1" style="51" customWidth="1"/>
    <col min="7436" max="7436" width="20" style="51" customWidth="1"/>
    <col min="7437" max="7437" width="2.85546875" style="51" customWidth="1"/>
    <col min="7438" max="7438" width="5.5703125" style="51" customWidth="1"/>
    <col min="7439" max="7439" width="4.5703125" style="51" customWidth="1"/>
    <col min="7440" max="7440" width="5.5703125" style="51" customWidth="1"/>
    <col min="7441" max="7442" width="11" style="51" customWidth="1"/>
    <col min="7443" max="7443" width="11.28515625" style="51" customWidth="1"/>
    <col min="7444" max="7444" width="15.28515625" style="51" customWidth="1"/>
    <col min="7445" max="7445" width="0.42578125" style="51" customWidth="1"/>
    <col min="7446" max="7447" width="11.42578125" style="51"/>
    <col min="7448" max="7448" width="6.85546875" style="51" customWidth="1"/>
    <col min="7449" max="7680" width="11.42578125" style="51"/>
    <col min="7681" max="7681" width="10.140625" style="51" customWidth="1"/>
    <col min="7682" max="7682" width="20" style="51" customWidth="1"/>
    <col min="7683" max="7683" width="2.85546875" style="51" customWidth="1"/>
    <col min="7684" max="7685" width="4.5703125" style="51" customWidth="1"/>
    <col min="7686" max="7686" width="5.5703125" style="51" customWidth="1"/>
    <col min="7687" max="7689" width="11" style="51" customWidth="1"/>
    <col min="7690" max="7690" width="15.28515625" style="51" customWidth="1"/>
    <col min="7691" max="7691" width="1" style="51" customWidth="1"/>
    <col min="7692" max="7692" width="20" style="51" customWidth="1"/>
    <col min="7693" max="7693" width="2.85546875" style="51" customWidth="1"/>
    <col min="7694" max="7694" width="5.5703125" style="51" customWidth="1"/>
    <col min="7695" max="7695" width="4.5703125" style="51" customWidth="1"/>
    <col min="7696" max="7696" width="5.5703125" style="51" customWidth="1"/>
    <col min="7697" max="7698" width="11" style="51" customWidth="1"/>
    <col min="7699" max="7699" width="11.28515625" style="51" customWidth="1"/>
    <col min="7700" max="7700" width="15.28515625" style="51" customWidth="1"/>
    <col min="7701" max="7701" width="0.42578125" style="51" customWidth="1"/>
    <col min="7702" max="7703" width="11.42578125" style="51"/>
    <col min="7704" max="7704" width="6.85546875" style="51" customWidth="1"/>
    <col min="7705" max="7936" width="11.42578125" style="51"/>
    <col min="7937" max="7937" width="10.140625" style="51" customWidth="1"/>
    <col min="7938" max="7938" width="20" style="51" customWidth="1"/>
    <col min="7939" max="7939" width="2.85546875" style="51" customWidth="1"/>
    <col min="7940" max="7941" width="4.5703125" style="51" customWidth="1"/>
    <col min="7942" max="7942" width="5.5703125" style="51" customWidth="1"/>
    <col min="7943" max="7945" width="11" style="51" customWidth="1"/>
    <col min="7946" max="7946" width="15.28515625" style="51" customWidth="1"/>
    <col min="7947" max="7947" width="1" style="51" customWidth="1"/>
    <col min="7948" max="7948" width="20" style="51" customWidth="1"/>
    <col min="7949" max="7949" width="2.85546875" style="51" customWidth="1"/>
    <col min="7950" max="7950" width="5.5703125" style="51" customWidth="1"/>
    <col min="7951" max="7951" width="4.5703125" style="51" customWidth="1"/>
    <col min="7952" max="7952" width="5.5703125" style="51" customWidth="1"/>
    <col min="7953" max="7954" width="11" style="51" customWidth="1"/>
    <col min="7955" max="7955" width="11.28515625" style="51" customWidth="1"/>
    <col min="7956" max="7956" width="15.28515625" style="51" customWidth="1"/>
    <col min="7957" max="7957" width="0.42578125" style="51" customWidth="1"/>
    <col min="7958" max="7959" width="11.42578125" style="51"/>
    <col min="7960" max="7960" width="6.85546875" style="51" customWidth="1"/>
    <col min="7961" max="8192" width="11.42578125" style="51"/>
    <col min="8193" max="8193" width="10.140625" style="51" customWidth="1"/>
    <col min="8194" max="8194" width="20" style="51" customWidth="1"/>
    <col min="8195" max="8195" width="2.85546875" style="51" customWidth="1"/>
    <col min="8196" max="8197" width="4.5703125" style="51" customWidth="1"/>
    <col min="8198" max="8198" width="5.5703125" style="51" customWidth="1"/>
    <col min="8199" max="8201" width="11" style="51" customWidth="1"/>
    <col min="8202" max="8202" width="15.28515625" style="51" customWidth="1"/>
    <col min="8203" max="8203" width="1" style="51" customWidth="1"/>
    <col min="8204" max="8204" width="20" style="51" customWidth="1"/>
    <col min="8205" max="8205" width="2.85546875" style="51" customWidth="1"/>
    <col min="8206" max="8206" width="5.5703125" style="51" customWidth="1"/>
    <col min="8207" max="8207" width="4.5703125" style="51" customWidth="1"/>
    <col min="8208" max="8208" width="5.5703125" style="51" customWidth="1"/>
    <col min="8209" max="8210" width="11" style="51" customWidth="1"/>
    <col min="8211" max="8211" width="11.28515625" style="51" customWidth="1"/>
    <col min="8212" max="8212" width="15.28515625" style="51" customWidth="1"/>
    <col min="8213" max="8213" width="0.42578125" style="51" customWidth="1"/>
    <col min="8214" max="8215" width="11.42578125" style="51"/>
    <col min="8216" max="8216" width="6.85546875" style="51" customWidth="1"/>
    <col min="8217" max="8448" width="11.42578125" style="51"/>
    <col min="8449" max="8449" width="10.140625" style="51" customWidth="1"/>
    <col min="8450" max="8450" width="20" style="51" customWidth="1"/>
    <col min="8451" max="8451" width="2.85546875" style="51" customWidth="1"/>
    <col min="8452" max="8453" width="4.5703125" style="51" customWidth="1"/>
    <col min="8454" max="8454" width="5.5703125" style="51" customWidth="1"/>
    <col min="8455" max="8457" width="11" style="51" customWidth="1"/>
    <col min="8458" max="8458" width="15.28515625" style="51" customWidth="1"/>
    <col min="8459" max="8459" width="1" style="51" customWidth="1"/>
    <col min="8460" max="8460" width="20" style="51" customWidth="1"/>
    <col min="8461" max="8461" width="2.85546875" style="51" customWidth="1"/>
    <col min="8462" max="8462" width="5.5703125" style="51" customWidth="1"/>
    <col min="8463" max="8463" width="4.5703125" style="51" customWidth="1"/>
    <col min="8464" max="8464" width="5.5703125" style="51" customWidth="1"/>
    <col min="8465" max="8466" width="11" style="51" customWidth="1"/>
    <col min="8467" max="8467" width="11.28515625" style="51" customWidth="1"/>
    <col min="8468" max="8468" width="15.28515625" style="51" customWidth="1"/>
    <col min="8469" max="8469" width="0.42578125" style="51" customWidth="1"/>
    <col min="8470" max="8471" width="11.42578125" style="51"/>
    <col min="8472" max="8472" width="6.85546875" style="51" customWidth="1"/>
    <col min="8473" max="8704" width="11.42578125" style="51"/>
    <col min="8705" max="8705" width="10.140625" style="51" customWidth="1"/>
    <col min="8706" max="8706" width="20" style="51" customWidth="1"/>
    <col min="8707" max="8707" width="2.85546875" style="51" customWidth="1"/>
    <col min="8708" max="8709" width="4.5703125" style="51" customWidth="1"/>
    <col min="8710" max="8710" width="5.5703125" style="51" customWidth="1"/>
    <col min="8711" max="8713" width="11" style="51" customWidth="1"/>
    <col min="8714" max="8714" width="15.28515625" style="51" customWidth="1"/>
    <col min="8715" max="8715" width="1" style="51" customWidth="1"/>
    <col min="8716" max="8716" width="20" style="51" customWidth="1"/>
    <col min="8717" max="8717" width="2.85546875" style="51" customWidth="1"/>
    <col min="8718" max="8718" width="5.5703125" style="51" customWidth="1"/>
    <col min="8719" max="8719" width="4.5703125" style="51" customWidth="1"/>
    <col min="8720" max="8720" width="5.5703125" style="51" customWidth="1"/>
    <col min="8721" max="8722" width="11" style="51" customWidth="1"/>
    <col min="8723" max="8723" width="11.28515625" style="51" customWidth="1"/>
    <col min="8724" max="8724" width="15.28515625" style="51" customWidth="1"/>
    <col min="8725" max="8725" width="0.42578125" style="51" customWidth="1"/>
    <col min="8726" max="8727" width="11.42578125" style="51"/>
    <col min="8728" max="8728" width="6.85546875" style="51" customWidth="1"/>
    <col min="8729" max="8960" width="11.42578125" style="51"/>
    <col min="8961" max="8961" width="10.140625" style="51" customWidth="1"/>
    <col min="8962" max="8962" width="20" style="51" customWidth="1"/>
    <col min="8963" max="8963" width="2.85546875" style="51" customWidth="1"/>
    <col min="8964" max="8965" width="4.5703125" style="51" customWidth="1"/>
    <col min="8966" max="8966" width="5.5703125" style="51" customWidth="1"/>
    <col min="8967" max="8969" width="11" style="51" customWidth="1"/>
    <col min="8970" max="8970" width="15.28515625" style="51" customWidth="1"/>
    <col min="8971" max="8971" width="1" style="51" customWidth="1"/>
    <col min="8972" max="8972" width="20" style="51" customWidth="1"/>
    <col min="8973" max="8973" width="2.85546875" style="51" customWidth="1"/>
    <col min="8974" max="8974" width="5.5703125" style="51" customWidth="1"/>
    <col min="8975" max="8975" width="4.5703125" style="51" customWidth="1"/>
    <col min="8976" max="8976" width="5.5703125" style="51" customWidth="1"/>
    <col min="8977" max="8978" width="11" style="51" customWidth="1"/>
    <col min="8979" max="8979" width="11.28515625" style="51" customWidth="1"/>
    <col min="8980" max="8980" width="15.28515625" style="51" customWidth="1"/>
    <col min="8981" max="8981" width="0.42578125" style="51" customWidth="1"/>
    <col min="8982" max="8983" width="11.42578125" style="51"/>
    <col min="8984" max="8984" width="6.85546875" style="51" customWidth="1"/>
    <col min="8985" max="9216" width="11.42578125" style="51"/>
    <col min="9217" max="9217" width="10.140625" style="51" customWidth="1"/>
    <col min="9218" max="9218" width="20" style="51" customWidth="1"/>
    <col min="9219" max="9219" width="2.85546875" style="51" customWidth="1"/>
    <col min="9220" max="9221" width="4.5703125" style="51" customWidth="1"/>
    <col min="9222" max="9222" width="5.5703125" style="51" customWidth="1"/>
    <col min="9223" max="9225" width="11" style="51" customWidth="1"/>
    <col min="9226" max="9226" width="15.28515625" style="51" customWidth="1"/>
    <col min="9227" max="9227" width="1" style="51" customWidth="1"/>
    <col min="9228" max="9228" width="20" style="51" customWidth="1"/>
    <col min="9229" max="9229" width="2.85546875" style="51" customWidth="1"/>
    <col min="9230" max="9230" width="5.5703125" style="51" customWidth="1"/>
    <col min="9231" max="9231" width="4.5703125" style="51" customWidth="1"/>
    <col min="9232" max="9232" width="5.5703125" style="51" customWidth="1"/>
    <col min="9233" max="9234" width="11" style="51" customWidth="1"/>
    <col min="9235" max="9235" width="11.28515625" style="51" customWidth="1"/>
    <col min="9236" max="9236" width="15.28515625" style="51" customWidth="1"/>
    <col min="9237" max="9237" width="0.42578125" style="51" customWidth="1"/>
    <col min="9238" max="9239" width="11.42578125" style="51"/>
    <col min="9240" max="9240" width="6.85546875" style="51" customWidth="1"/>
    <col min="9241" max="9472" width="11.42578125" style="51"/>
    <col min="9473" max="9473" width="10.140625" style="51" customWidth="1"/>
    <col min="9474" max="9474" width="20" style="51" customWidth="1"/>
    <col min="9475" max="9475" width="2.85546875" style="51" customWidth="1"/>
    <col min="9476" max="9477" width="4.5703125" style="51" customWidth="1"/>
    <col min="9478" max="9478" width="5.5703125" style="51" customWidth="1"/>
    <col min="9479" max="9481" width="11" style="51" customWidth="1"/>
    <col min="9482" max="9482" width="15.28515625" style="51" customWidth="1"/>
    <col min="9483" max="9483" width="1" style="51" customWidth="1"/>
    <col min="9484" max="9484" width="20" style="51" customWidth="1"/>
    <col min="9485" max="9485" width="2.85546875" style="51" customWidth="1"/>
    <col min="9486" max="9486" width="5.5703125" style="51" customWidth="1"/>
    <col min="9487" max="9487" width="4.5703125" style="51" customWidth="1"/>
    <col min="9488" max="9488" width="5.5703125" style="51" customWidth="1"/>
    <col min="9489" max="9490" width="11" style="51" customWidth="1"/>
    <col min="9491" max="9491" width="11.28515625" style="51" customWidth="1"/>
    <col min="9492" max="9492" width="15.28515625" style="51" customWidth="1"/>
    <col min="9493" max="9493" width="0.42578125" style="51" customWidth="1"/>
    <col min="9494" max="9495" width="11.42578125" style="51"/>
    <col min="9496" max="9496" width="6.85546875" style="51" customWidth="1"/>
    <col min="9497" max="9728" width="11.42578125" style="51"/>
    <col min="9729" max="9729" width="10.140625" style="51" customWidth="1"/>
    <col min="9730" max="9730" width="20" style="51" customWidth="1"/>
    <col min="9731" max="9731" width="2.85546875" style="51" customWidth="1"/>
    <col min="9732" max="9733" width="4.5703125" style="51" customWidth="1"/>
    <col min="9734" max="9734" width="5.5703125" style="51" customWidth="1"/>
    <col min="9735" max="9737" width="11" style="51" customWidth="1"/>
    <col min="9738" max="9738" width="15.28515625" style="51" customWidth="1"/>
    <col min="9739" max="9739" width="1" style="51" customWidth="1"/>
    <col min="9740" max="9740" width="20" style="51" customWidth="1"/>
    <col min="9741" max="9741" width="2.85546875" style="51" customWidth="1"/>
    <col min="9742" max="9742" width="5.5703125" style="51" customWidth="1"/>
    <col min="9743" max="9743" width="4.5703125" style="51" customWidth="1"/>
    <col min="9744" max="9744" width="5.5703125" style="51" customWidth="1"/>
    <col min="9745" max="9746" width="11" style="51" customWidth="1"/>
    <col min="9747" max="9747" width="11.28515625" style="51" customWidth="1"/>
    <col min="9748" max="9748" width="15.28515625" style="51" customWidth="1"/>
    <col min="9749" max="9749" width="0.42578125" style="51" customWidth="1"/>
    <col min="9750" max="9751" width="11.42578125" style="51"/>
    <col min="9752" max="9752" width="6.85546875" style="51" customWidth="1"/>
    <col min="9753" max="9984" width="11.42578125" style="51"/>
    <col min="9985" max="9985" width="10.140625" style="51" customWidth="1"/>
    <col min="9986" max="9986" width="20" style="51" customWidth="1"/>
    <col min="9987" max="9987" width="2.85546875" style="51" customWidth="1"/>
    <col min="9988" max="9989" width="4.5703125" style="51" customWidth="1"/>
    <col min="9990" max="9990" width="5.5703125" style="51" customWidth="1"/>
    <col min="9991" max="9993" width="11" style="51" customWidth="1"/>
    <col min="9994" max="9994" width="15.28515625" style="51" customWidth="1"/>
    <col min="9995" max="9995" width="1" style="51" customWidth="1"/>
    <col min="9996" max="9996" width="20" style="51" customWidth="1"/>
    <col min="9997" max="9997" width="2.85546875" style="51" customWidth="1"/>
    <col min="9998" max="9998" width="5.5703125" style="51" customWidth="1"/>
    <col min="9999" max="9999" width="4.5703125" style="51" customWidth="1"/>
    <col min="10000" max="10000" width="5.5703125" style="51" customWidth="1"/>
    <col min="10001" max="10002" width="11" style="51" customWidth="1"/>
    <col min="10003" max="10003" width="11.28515625" style="51" customWidth="1"/>
    <col min="10004" max="10004" width="15.28515625" style="51" customWidth="1"/>
    <col min="10005" max="10005" width="0.42578125" style="51" customWidth="1"/>
    <col min="10006" max="10007" width="11.42578125" style="51"/>
    <col min="10008" max="10008" width="6.85546875" style="51" customWidth="1"/>
    <col min="10009" max="10240" width="11.42578125" style="51"/>
    <col min="10241" max="10241" width="10.140625" style="51" customWidth="1"/>
    <col min="10242" max="10242" width="20" style="51" customWidth="1"/>
    <col min="10243" max="10243" width="2.85546875" style="51" customWidth="1"/>
    <col min="10244" max="10245" width="4.5703125" style="51" customWidth="1"/>
    <col min="10246" max="10246" width="5.5703125" style="51" customWidth="1"/>
    <col min="10247" max="10249" width="11" style="51" customWidth="1"/>
    <col min="10250" max="10250" width="15.28515625" style="51" customWidth="1"/>
    <col min="10251" max="10251" width="1" style="51" customWidth="1"/>
    <col min="10252" max="10252" width="20" style="51" customWidth="1"/>
    <col min="10253" max="10253" width="2.85546875" style="51" customWidth="1"/>
    <col min="10254" max="10254" width="5.5703125" style="51" customWidth="1"/>
    <col min="10255" max="10255" width="4.5703125" style="51" customWidth="1"/>
    <col min="10256" max="10256" width="5.5703125" style="51" customWidth="1"/>
    <col min="10257" max="10258" width="11" style="51" customWidth="1"/>
    <col min="10259" max="10259" width="11.28515625" style="51" customWidth="1"/>
    <col min="10260" max="10260" width="15.28515625" style="51" customWidth="1"/>
    <col min="10261" max="10261" width="0.42578125" style="51" customWidth="1"/>
    <col min="10262" max="10263" width="11.42578125" style="51"/>
    <col min="10264" max="10264" width="6.85546875" style="51" customWidth="1"/>
    <col min="10265" max="10496" width="11.42578125" style="51"/>
    <col min="10497" max="10497" width="10.140625" style="51" customWidth="1"/>
    <col min="10498" max="10498" width="20" style="51" customWidth="1"/>
    <col min="10499" max="10499" width="2.85546875" style="51" customWidth="1"/>
    <col min="10500" max="10501" width="4.5703125" style="51" customWidth="1"/>
    <col min="10502" max="10502" width="5.5703125" style="51" customWidth="1"/>
    <col min="10503" max="10505" width="11" style="51" customWidth="1"/>
    <col min="10506" max="10506" width="15.28515625" style="51" customWidth="1"/>
    <col min="10507" max="10507" width="1" style="51" customWidth="1"/>
    <col min="10508" max="10508" width="20" style="51" customWidth="1"/>
    <col min="10509" max="10509" width="2.85546875" style="51" customWidth="1"/>
    <col min="10510" max="10510" width="5.5703125" style="51" customWidth="1"/>
    <col min="10511" max="10511" width="4.5703125" style="51" customWidth="1"/>
    <col min="10512" max="10512" width="5.5703125" style="51" customWidth="1"/>
    <col min="10513" max="10514" width="11" style="51" customWidth="1"/>
    <col min="10515" max="10515" width="11.28515625" style="51" customWidth="1"/>
    <col min="10516" max="10516" width="15.28515625" style="51" customWidth="1"/>
    <col min="10517" max="10517" width="0.42578125" style="51" customWidth="1"/>
    <col min="10518" max="10519" width="11.42578125" style="51"/>
    <col min="10520" max="10520" width="6.85546875" style="51" customWidth="1"/>
    <col min="10521" max="10752" width="11.42578125" style="51"/>
    <col min="10753" max="10753" width="10.140625" style="51" customWidth="1"/>
    <col min="10754" max="10754" width="20" style="51" customWidth="1"/>
    <col min="10755" max="10755" width="2.85546875" style="51" customWidth="1"/>
    <col min="10756" max="10757" width="4.5703125" style="51" customWidth="1"/>
    <col min="10758" max="10758" width="5.5703125" style="51" customWidth="1"/>
    <col min="10759" max="10761" width="11" style="51" customWidth="1"/>
    <col min="10762" max="10762" width="15.28515625" style="51" customWidth="1"/>
    <col min="10763" max="10763" width="1" style="51" customWidth="1"/>
    <col min="10764" max="10764" width="20" style="51" customWidth="1"/>
    <col min="10765" max="10765" width="2.85546875" style="51" customWidth="1"/>
    <col min="10766" max="10766" width="5.5703125" style="51" customWidth="1"/>
    <col min="10767" max="10767" width="4.5703125" style="51" customWidth="1"/>
    <col min="10768" max="10768" width="5.5703125" style="51" customWidth="1"/>
    <col min="10769" max="10770" width="11" style="51" customWidth="1"/>
    <col min="10771" max="10771" width="11.28515625" style="51" customWidth="1"/>
    <col min="10772" max="10772" width="15.28515625" style="51" customWidth="1"/>
    <col min="10773" max="10773" width="0.42578125" style="51" customWidth="1"/>
    <col min="10774" max="10775" width="11.42578125" style="51"/>
    <col min="10776" max="10776" width="6.85546875" style="51" customWidth="1"/>
    <col min="10777" max="11008" width="11.42578125" style="51"/>
    <col min="11009" max="11009" width="10.140625" style="51" customWidth="1"/>
    <col min="11010" max="11010" width="20" style="51" customWidth="1"/>
    <col min="11011" max="11011" width="2.85546875" style="51" customWidth="1"/>
    <col min="11012" max="11013" width="4.5703125" style="51" customWidth="1"/>
    <col min="11014" max="11014" width="5.5703125" style="51" customWidth="1"/>
    <col min="11015" max="11017" width="11" style="51" customWidth="1"/>
    <col min="11018" max="11018" width="15.28515625" style="51" customWidth="1"/>
    <col min="11019" max="11019" width="1" style="51" customWidth="1"/>
    <col min="11020" max="11020" width="20" style="51" customWidth="1"/>
    <col min="11021" max="11021" width="2.85546875" style="51" customWidth="1"/>
    <col min="11022" max="11022" width="5.5703125" style="51" customWidth="1"/>
    <col min="11023" max="11023" width="4.5703125" style="51" customWidth="1"/>
    <col min="11024" max="11024" width="5.5703125" style="51" customWidth="1"/>
    <col min="11025" max="11026" width="11" style="51" customWidth="1"/>
    <col min="11027" max="11027" width="11.28515625" style="51" customWidth="1"/>
    <col min="11028" max="11028" width="15.28515625" style="51" customWidth="1"/>
    <col min="11029" max="11029" width="0.42578125" style="51" customWidth="1"/>
    <col min="11030" max="11031" width="11.42578125" style="51"/>
    <col min="11032" max="11032" width="6.85546875" style="51" customWidth="1"/>
    <col min="11033" max="11264" width="11.42578125" style="51"/>
    <col min="11265" max="11265" width="10.140625" style="51" customWidth="1"/>
    <col min="11266" max="11266" width="20" style="51" customWidth="1"/>
    <col min="11267" max="11267" width="2.85546875" style="51" customWidth="1"/>
    <col min="11268" max="11269" width="4.5703125" style="51" customWidth="1"/>
    <col min="11270" max="11270" width="5.5703125" style="51" customWidth="1"/>
    <col min="11271" max="11273" width="11" style="51" customWidth="1"/>
    <col min="11274" max="11274" width="15.28515625" style="51" customWidth="1"/>
    <col min="11275" max="11275" width="1" style="51" customWidth="1"/>
    <col min="11276" max="11276" width="20" style="51" customWidth="1"/>
    <col min="11277" max="11277" width="2.85546875" style="51" customWidth="1"/>
    <col min="11278" max="11278" width="5.5703125" style="51" customWidth="1"/>
    <col min="11279" max="11279" width="4.5703125" style="51" customWidth="1"/>
    <col min="11280" max="11280" width="5.5703125" style="51" customWidth="1"/>
    <col min="11281" max="11282" width="11" style="51" customWidth="1"/>
    <col min="11283" max="11283" width="11.28515625" style="51" customWidth="1"/>
    <col min="11284" max="11284" width="15.28515625" style="51" customWidth="1"/>
    <col min="11285" max="11285" width="0.42578125" style="51" customWidth="1"/>
    <col min="11286" max="11287" width="11.42578125" style="51"/>
    <col min="11288" max="11288" width="6.85546875" style="51" customWidth="1"/>
    <col min="11289" max="11520" width="11.42578125" style="51"/>
    <col min="11521" max="11521" width="10.140625" style="51" customWidth="1"/>
    <col min="11522" max="11522" width="20" style="51" customWidth="1"/>
    <col min="11523" max="11523" width="2.85546875" style="51" customWidth="1"/>
    <col min="11524" max="11525" width="4.5703125" style="51" customWidth="1"/>
    <col min="11526" max="11526" width="5.5703125" style="51" customWidth="1"/>
    <col min="11527" max="11529" width="11" style="51" customWidth="1"/>
    <col min="11530" max="11530" width="15.28515625" style="51" customWidth="1"/>
    <col min="11531" max="11531" width="1" style="51" customWidth="1"/>
    <col min="11532" max="11532" width="20" style="51" customWidth="1"/>
    <col min="11533" max="11533" width="2.85546875" style="51" customWidth="1"/>
    <col min="11534" max="11534" width="5.5703125" style="51" customWidth="1"/>
    <col min="11535" max="11535" width="4.5703125" style="51" customWidth="1"/>
    <col min="11536" max="11536" width="5.5703125" style="51" customWidth="1"/>
    <col min="11537" max="11538" width="11" style="51" customWidth="1"/>
    <col min="11539" max="11539" width="11.28515625" style="51" customWidth="1"/>
    <col min="11540" max="11540" width="15.28515625" style="51" customWidth="1"/>
    <col min="11541" max="11541" width="0.42578125" style="51" customWidth="1"/>
    <col min="11542" max="11543" width="11.42578125" style="51"/>
    <col min="11544" max="11544" width="6.85546875" style="51" customWidth="1"/>
    <col min="11545" max="11776" width="11.42578125" style="51"/>
    <col min="11777" max="11777" width="10.140625" style="51" customWidth="1"/>
    <col min="11778" max="11778" width="20" style="51" customWidth="1"/>
    <col min="11779" max="11779" width="2.85546875" style="51" customWidth="1"/>
    <col min="11780" max="11781" width="4.5703125" style="51" customWidth="1"/>
    <col min="11782" max="11782" width="5.5703125" style="51" customWidth="1"/>
    <col min="11783" max="11785" width="11" style="51" customWidth="1"/>
    <col min="11786" max="11786" width="15.28515625" style="51" customWidth="1"/>
    <col min="11787" max="11787" width="1" style="51" customWidth="1"/>
    <col min="11788" max="11788" width="20" style="51" customWidth="1"/>
    <col min="11789" max="11789" width="2.85546875" style="51" customWidth="1"/>
    <col min="11790" max="11790" width="5.5703125" style="51" customWidth="1"/>
    <col min="11791" max="11791" width="4.5703125" style="51" customWidth="1"/>
    <col min="11792" max="11792" width="5.5703125" style="51" customWidth="1"/>
    <col min="11793" max="11794" width="11" style="51" customWidth="1"/>
    <col min="11795" max="11795" width="11.28515625" style="51" customWidth="1"/>
    <col min="11796" max="11796" width="15.28515625" style="51" customWidth="1"/>
    <col min="11797" max="11797" width="0.42578125" style="51" customWidth="1"/>
    <col min="11798" max="11799" width="11.42578125" style="51"/>
    <col min="11800" max="11800" width="6.85546875" style="51" customWidth="1"/>
    <col min="11801" max="12032" width="11.42578125" style="51"/>
    <col min="12033" max="12033" width="10.140625" style="51" customWidth="1"/>
    <col min="12034" max="12034" width="20" style="51" customWidth="1"/>
    <col min="12035" max="12035" width="2.85546875" style="51" customWidth="1"/>
    <col min="12036" max="12037" width="4.5703125" style="51" customWidth="1"/>
    <col min="12038" max="12038" width="5.5703125" style="51" customWidth="1"/>
    <col min="12039" max="12041" width="11" style="51" customWidth="1"/>
    <col min="12042" max="12042" width="15.28515625" style="51" customWidth="1"/>
    <col min="12043" max="12043" width="1" style="51" customWidth="1"/>
    <col min="12044" max="12044" width="20" style="51" customWidth="1"/>
    <col min="12045" max="12045" width="2.85546875" style="51" customWidth="1"/>
    <col min="12046" max="12046" width="5.5703125" style="51" customWidth="1"/>
    <col min="12047" max="12047" width="4.5703125" style="51" customWidth="1"/>
    <col min="12048" max="12048" width="5.5703125" style="51" customWidth="1"/>
    <col min="12049" max="12050" width="11" style="51" customWidth="1"/>
    <col min="12051" max="12051" width="11.28515625" style="51" customWidth="1"/>
    <col min="12052" max="12052" width="15.28515625" style="51" customWidth="1"/>
    <col min="12053" max="12053" width="0.42578125" style="51" customWidth="1"/>
    <col min="12054" max="12055" width="11.42578125" style="51"/>
    <col min="12056" max="12056" width="6.85546875" style="51" customWidth="1"/>
    <col min="12057" max="12288" width="11.42578125" style="51"/>
    <col min="12289" max="12289" width="10.140625" style="51" customWidth="1"/>
    <col min="12290" max="12290" width="20" style="51" customWidth="1"/>
    <col min="12291" max="12291" width="2.85546875" style="51" customWidth="1"/>
    <col min="12292" max="12293" width="4.5703125" style="51" customWidth="1"/>
    <col min="12294" max="12294" width="5.5703125" style="51" customWidth="1"/>
    <col min="12295" max="12297" width="11" style="51" customWidth="1"/>
    <col min="12298" max="12298" width="15.28515625" style="51" customWidth="1"/>
    <col min="12299" max="12299" width="1" style="51" customWidth="1"/>
    <col min="12300" max="12300" width="20" style="51" customWidth="1"/>
    <col min="12301" max="12301" width="2.85546875" style="51" customWidth="1"/>
    <col min="12302" max="12302" width="5.5703125" style="51" customWidth="1"/>
    <col min="12303" max="12303" width="4.5703125" style="51" customWidth="1"/>
    <col min="12304" max="12304" width="5.5703125" style="51" customWidth="1"/>
    <col min="12305" max="12306" width="11" style="51" customWidth="1"/>
    <col min="12307" max="12307" width="11.28515625" style="51" customWidth="1"/>
    <col min="12308" max="12308" width="15.28515625" style="51" customWidth="1"/>
    <col min="12309" max="12309" width="0.42578125" style="51" customWidth="1"/>
    <col min="12310" max="12311" width="11.42578125" style="51"/>
    <col min="12312" max="12312" width="6.85546875" style="51" customWidth="1"/>
    <col min="12313" max="12544" width="11.42578125" style="51"/>
    <col min="12545" max="12545" width="10.140625" style="51" customWidth="1"/>
    <col min="12546" max="12546" width="20" style="51" customWidth="1"/>
    <col min="12547" max="12547" width="2.85546875" style="51" customWidth="1"/>
    <col min="12548" max="12549" width="4.5703125" style="51" customWidth="1"/>
    <col min="12550" max="12550" width="5.5703125" style="51" customWidth="1"/>
    <col min="12551" max="12553" width="11" style="51" customWidth="1"/>
    <col min="12554" max="12554" width="15.28515625" style="51" customWidth="1"/>
    <col min="12555" max="12555" width="1" style="51" customWidth="1"/>
    <col min="12556" max="12556" width="20" style="51" customWidth="1"/>
    <col min="12557" max="12557" width="2.85546875" style="51" customWidth="1"/>
    <col min="12558" max="12558" width="5.5703125" style="51" customWidth="1"/>
    <col min="12559" max="12559" width="4.5703125" style="51" customWidth="1"/>
    <col min="12560" max="12560" width="5.5703125" style="51" customWidth="1"/>
    <col min="12561" max="12562" width="11" style="51" customWidth="1"/>
    <col min="12563" max="12563" width="11.28515625" style="51" customWidth="1"/>
    <col min="12564" max="12564" width="15.28515625" style="51" customWidth="1"/>
    <col min="12565" max="12565" width="0.42578125" style="51" customWidth="1"/>
    <col min="12566" max="12567" width="11.42578125" style="51"/>
    <col min="12568" max="12568" width="6.85546875" style="51" customWidth="1"/>
    <col min="12569" max="12800" width="11.42578125" style="51"/>
    <col min="12801" max="12801" width="10.140625" style="51" customWidth="1"/>
    <col min="12802" max="12802" width="20" style="51" customWidth="1"/>
    <col min="12803" max="12803" width="2.85546875" style="51" customWidth="1"/>
    <col min="12804" max="12805" width="4.5703125" style="51" customWidth="1"/>
    <col min="12806" max="12806" width="5.5703125" style="51" customWidth="1"/>
    <col min="12807" max="12809" width="11" style="51" customWidth="1"/>
    <col min="12810" max="12810" width="15.28515625" style="51" customWidth="1"/>
    <col min="12811" max="12811" width="1" style="51" customWidth="1"/>
    <col min="12812" max="12812" width="20" style="51" customWidth="1"/>
    <col min="12813" max="12813" width="2.85546875" style="51" customWidth="1"/>
    <col min="12814" max="12814" width="5.5703125" style="51" customWidth="1"/>
    <col min="12815" max="12815" width="4.5703125" style="51" customWidth="1"/>
    <col min="12816" max="12816" width="5.5703125" style="51" customWidth="1"/>
    <col min="12817" max="12818" width="11" style="51" customWidth="1"/>
    <col min="12819" max="12819" width="11.28515625" style="51" customWidth="1"/>
    <col min="12820" max="12820" width="15.28515625" style="51" customWidth="1"/>
    <col min="12821" max="12821" width="0.42578125" style="51" customWidth="1"/>
    <col min="12822" max="12823" width="11.42578125" style="51"/>
    <col min="12824" max="12824" width="6.85546875" style="51" customWidth="1"/>
    <col min="12825" max="13056" width="11.42578125" style="51"/>
    <col min="13057" max="13057" width="10.140625" style="51" customWidth="1"/>
    <col min="13058" max="13058" width="20" style="51" customWidth="1"/>
    <col min="13059" max="13059" width="2.85546875" style="51" customWidth="1"/>
    <col min="13060" max="13061" width="4.5703125" style="51" customWidth="1"/>
    <col min="13062" max="13062" width="5.5703125" style="51" customWidth="1"/>
    <col min="13063" max="13065" width="11" style="51" customWidth="1"/>
    <col min="13066" max="13066" width="15.28515625" style="51" customWidth="1"/>
    <col min="13067" max="13067" width="1" style="51" customWidth="1"/>
    <col min="13068" max="13068" width="20" style="51" customWidth="1"/>
    <col min="13069" max="13069" width="2.85546875" style="51" customWidth="1"/>
    <col min="13070" max="13070" width="5.5703125" style="51" customWidth="1"/>
    <col min="13071" max="13071" width="4.5703125" style="51" customWidth="1"/>
    <col min="13072" max="13072" width="5.5703125" style="51" customWidth="1"/>
    <col min="13073" max="13074" width="11" style="51" customWidth="1"/>
    <col min="13075" max="13075" width="11.28515625" style="51" customWidth="1"/>
    <col min="13076" max="13076" width="15.28515625" style="51" customWidth="1"/>
    <col min="13077" max="13077" width="0.42578125" style="51" customWidth="1"/>
    <col min="13078" max="13079" width="11.42578125" style="51"/>
    <col min="13080" max="13080" width="6.85546875" style="51" customWidth="1"/>
    <col min="13081" max="13312" width="11.42578125" style="51"/>
    <col min="13313" max="13313" width="10.140625" style="51" customWidth="1"/>
    <col min="13314" max="13314" width="20" style="51" customWidth="1"/>
    <col min="13315" max="13315" width="2.85546875" style="51" customWidth="1"/>
    <col min="13316" max="13317" width="4.5703125" style="51" customWidth="1"/>
    <col min="13318" max="13318" width="5.5703125" style="51" customWidth="1"/>
    <col min="13319" max="13321" width="11" style="51" customWidth="1"/>
    <col min="13322" max="13322" width="15.28515625" style="51" customWidth="1"/>
    <col min="13323" max="13323" width="1" style="51" customWidth="1"/>
    <col min="13324" max="13324" width="20" style="51" customWidth="1"/>
    <col min="13325" max="13325" width="2.85546875" style="51" customWidth="1"/>
    <col min="13326" max="13326" width="5.5703125" style="51" customWidth="1"/>
    <col min="13327" max="13327" width="4.5703125" style="51" customWidth="1"/>
    <col min="13328" max="13328" width="5.5703125" style="51" customWidth="1"/>
    <col min="13329" max="13330" width="11" style="51" customWidth="1"/>
    <col min="13331" max="13331" width="11.28515625" style="51" customWidth="1"/>
    <col min="13332" max="13332" width="15.28515625" style="51" customWidth="1"/>
    <col min="13333" max="13333" width="0.42578125" style="51" customWidth="1"/>
    <col min="13334" max="13335" width="11.42578125" style="51"/>
    <col min="13336" max="13336" width="6.85546875" style="51" customWidth="1"/>
    <col min="13337" max="13568" width="11.42578125" style="51"/>
    <col min="13569" max="13569" width="10.140625" style="51" customWidth="1"/>
    <col min="13570" max="13570" width="20" style="51" customWidth="1"/>
    <col min="13571" max="13571" width="2.85546875" style="51" customWidth="1"/>
    <col min="13572" max="13573" width="4.5703125" style="51" customWidth="1"/>
    <col min="13574" max="13574" width="5.5703125" style="51" customWidth="1"/>
    <col min="13575" max="13577" width="11" style="51" customWidth="1"/>
    <col min="13578" max="13578" width="15.28515625" style="51" customWidth="1"/>
    <col min="13579" max="13579" width="1" style="51" customWidth="1"/>
    <col min="13580" max="13580" width="20" style="51" customWidth="1"/>
    <col min="13581" max="13581" width="2.85546875" style="51" customWidth="1"/>
    <col min="13582" max="13582" width="5.5703125" style="51" customWidth="1"/>
    <col min="13583" max="13583" width="4.5703125" style="51" customWidth="1"/>
    <col min="13584" max="13584" width="5.5703125" style="51" customWidth="1"/>
    <col min="13585" max="13586" width="11" style="51" customWidth="1"/>
    <col min="13587" max="13587" width="11.28515625" style="51" customWidth="1"/>
    <col min="13588" max="13588" width="15.28515625" style="51" customWidth="1"/>
    <col min="13589" max="13589" width="0.42578125" style="51" customWidth="1"/>
    <col min="13590" max="13591" width="11.42578125" style="51"/>
    <col min="13592" max="13592" width="6.85546875" style="51" customWidth="1"/>
    <col min="13593" max="13824" width="11.42578125" style="51"/>
    <col min="13825" max="13825" width="10.140625" style="51" customWidth="1"/>
    <col min="13826" max="13826" width="20" style="51" customWidth="1"/>
    <col min="13827" max="13827" width="2.85546875" style="51" customWidth="1"/>
    <col min="13828" max="13829" width="4.5703125" style="51" customWidth="1"/>
    <col min="13830" max="13830" width="5.5703125" style="51" customWidth="1"/>
    <col min="13831" max="13833" width="11" style="51" customWidth="1"/>
    <col min="13834" max="13834" width="15.28515625" style="51" customWidth="1"/>
    <col min="13835" max="13835" width="1" style="51" customWidth="1"/>
    <col min="13836" max="13836" width="20" style="51" customWidth="1"/>
    <col min="13837" max="13837" width="2.85546875" style="51" customWidth="1"/>
    <col min="13838" max="13838" width="5.5703125" style="51" customWidth="1"/>
    <col min="13839" max="13839" width="4.5703125" style="51" customWidth="1"/>
    <col min="13840" max="13840" width="5.5703125" style="51" customWidth="1"/>
    <col min="13841" max="13842" width="11" style="51" customWidth="1"/>
    <col min="13843" max="13843" width="11.28515625" style="51" customWidth="1"/>
    <col min="13844" max="13844" width="15.28515625" style="51" customWidth="1"/>
    <col min="13845" max="13845" width="0.42578125" style="51" customWidth="1"/>
    <col min="13846" max="13847" width="11.42578125" style="51"/>
    <col min="13848" max="13848" width="6.85546875" style="51" customWidth="1"/>
    <col min="13849" max="14080" width="11.42578125" style="51"/>
    <col min="14081" max="14081" width="10.140625" style="51" customWidth="1"/>
    <col min="14082" max="14082" width="20" style="51" customWidth="1"/>
    <col min="14083" max="14083" width="2.85546875" style="51" customWidth="1"/>
    <col min="14084" max="14085" width="4.5703125" style="51" customWidth="1"/>
    <col min="14086" max="14086" width="5.5703125" style="51" customWidth="1"/>
    <col min="14087" max="14089" width="11" style="51" customWidth="1"/>
    <col min="14090" max="14090" width="15.28515625" style="51" customWidth="1"/>
    <col min="14091" max="14091" width="1" style="51" customWidth="1"/>
    <col min="14092" max="14092" width="20" style="51" customWidth="1"/>
    <col min="14093" max="14093" width="2.85546875" style="51" customWidth="1"/>
    <col min="14094" max="14094" width="5.5703125" style="51" customWidth="1"/>
    <col min="14095" max="14095" width="4.5703125" style="51" customWidth="1"/>
    <col min="14096" max="14096" width="5.5703125" style="51" customWidth="1"/>
    <col min="14097" max="14098" width="11" style="51" customWidth="1"/>
    <col min="14099" max="14099" width="11.28515625" style="51" customWidth="1"/>
    <col min="14100" max="14100" width="15.28515625" style="51" customWidth="1"/>
    <col min="14101" max="14101" width="0.42578125" style="51" customWidth="1"/>
    <col min="14102" max="14103" width="11.42578125" style="51"/>
    <col min="14104" max="14104" width="6.85546875" style="51" customWidth="1"/>
    <col min="14105" max="14336" width="11.42578125" style="51"/>
    <col min="14337" max="14337" width="10.140625" style="51" customWidth="1"/>
    <col min="14338" max="14338" width="20" style="51" customWidth="1"/>
    <col min="14339" max="14339" width="2.85546875" style="51" customWidth="1"/>
    <col min="14340" max="14341" width="4.5703125" style="51" customWidth="1"/>
    <col min="14342" max="14342" width="5.5703125" style="51" customWidth="1"/>
    <col min="14343" max="14345" width="11" style="51" customWidth="1"/>
    <col min="14346" max="14346" width="15.28515625" style="51" customWidth="1"/>
    <col min="14347" max="14347" width="1" style="51" customWidth="1"/>
    <col min="14348" max="14348" width="20" style="51" customWidth="1"/>
    <col min="14349" max="14349" width="2.85546875" style="51" customWidth="1"/>
    <col min="14350" max="14350" width="5.5703125" style="51" customWidth="1"/>
    <col min="14351" max="14351" width="4.5703125" style="51" customWidth="1"/>
    <col min="14352" max="14352" width="5.5703125" style="51" customWidth="1"/>
    <col min="14353" max="14354" width="11" style="51" customWidth="1"/>
    <col min="14355" max="14355" width="11.28515625" style="51" customWidth="1"/>
    <col min="14356" max="14356" width="15.28515625" style="51" customWidth="1"/>
    <col min="14357" max="14357" width="0.42578125" style="51" customWidth="1"/>
    <col min="14358" max="14359" width="11.42578125" style="51"/>
    <col min="14360" max="14360" width="6.85546875" style="51" customWidth="1"/>
    <col min="14361" max="14592" width="11.42578125" style="51"/>
    <col min="14593" max="14593" width="10.140625" style="51" customWidth="1"/>
    <col min="14594" max="14594" width="20" style="51" customWidth="1"/>
    <col min="14595" max="14595" width="2.85546875" style="51" customWidth="1"/>
    <col min="14596" max="14597" width="4.5703125" style="51" customWidth="1"/>
    <col min="14598" max="14598" width="5.5703125" style="51" customWidth="1"/>
    <col min="14599" max="14601" width="11" style="51" customWidth="1"/>
    <col min="14602" max="14602" width="15.28515625" style="51" customWidth="1"/>
    <col min="14603" max="14603" width="1" style="51" customWidth="1"/>
    <col min="14604" max="14604" width="20" style="51" customWidth="1"/>
    <col min="14605" max="14605" width="2.85546875" style="51" customWidth="1"/>
    <col min="14606" max="14606" width="5.5703125" style="51" customWidth="1"/>
    <col min="14607" max="14607" width="4.5703125" style="51" customWidth="1"/>
    <col min="14608" max="14608" width="5.5703125" style="51" customWidth="1"/>
    <col min="14609" max="14610" width="11" style="51" customWidth="1"/>
    <col min="14611" max="14611" width="11.28515625" style="51" customWidth="1"/>
    <col min="14612" max="14612" width="15.28515625" style="51" customWidth="1"/>
    <col min="14613" max="14613" width="0.42578125" style="51" customWidth="1"/>
    <col min="14614" max="14615" width="11.42578125" style="51"/>
    <col min="14616" max="14616" width="6.85546875" style="51" customWidth="1"/>
    <col min="14617" max="14848" width="11.42578125" style="51"/>
    <col min="14849" max="14849" width="10.140625" style="51" customWidth="1"/>
    <col min="14850" max="14850" width="20" style="51" customWidth="1"/>
    <col min="14851" max="14851" width="2.85546875" style="51" customWidth="1"/>
    <col min="14852" max="14853" width="4.5703125" style="51" customWidth="1"/>
    <col min="14854" max="14854" width="5.5703125" style="51" customWidth="1"/>
    <col min="14855" max="14857" width="11" style="51" customWidth="1"/>
    <col min="14858" max="14858" width="15.28515625" style="51" customWidth="1"/>
    <col min="14859" max="14859" width="1" style="51" customWidth="1"/>
    <col min="14860" max="14860" width="20" style="51" customWidth="1"/>
    <col min="14861" max="14861" width="2.85546875" style="51" customWidth="1"/>
    <col min="14862" max="14862" width="5.5703125" style="51" customWidth="1"/>
    <col min="14863" max="14863" width="4.5703125" style="51" customWidth="1"/>
    <col min="14864" max="14864" width="5.5703125" style="51" customWidth="1"/>
    <col min="14865" max="14866" width="11" style="51" customWidth="1"/>
    <col min="14867" max="14867" width="11.28515625" style="51" customWidth="1"/>
    <col min="14868" max="14868" width="15.28515625" style="51" customWidth="1"/>
    <col min="14869" max="14869" width="0.42578125" style="51" customWidth="1"/>
    <col min="14870" max="14871" width="11.42578125" style="51"/>
    <col min="14872" max="14872" width="6.85546875" style="51" customWidth="1"/>
    <col min="14873" max="15104" width="11.42578125" style="51"/>
    <col min="15105" max="15105" width="10.140625" style="51" customWidth="1"/>
    <col min="15106" max="15106" width="20" style="51" customWidth="1"/>
    <col min="15107" max="15107" width="2.85546875" style="51" customWidth="1"/>
    <col min="15108" max="15109" width="4.5703125" style="51" customWidth="1"/>
    <col min="15110" max="15110" width="5.5703125" style="51" customWidth="1"/>
    <col min="15111" max="15113" width="11" style="51" customWidth="1"/>
    <col min="15114" max="15114" width="15.28515625" style="51" customWidth="1"/>
    <col min="15115" max="15115" width="1" style="51" customWidth="1"/>
    <col min="15116" max="15116" width="20" style="51" customWidth="1"/>
    <col min="15117" max="15117" width="2.85546875" style="51" customWidth="1"/>
    <col min="15118" max="15118" width="5.5703125" style="51" customWidth="1"/>
    <col min="15119" max="15119" width="4.5703125" style="51" customWidth="1"/>
    <col min="15120" max="15120" width="5.5703125" style="51" customWidth="1"/>
    <col min="15121" max="15122" width="11" style="51" customWidth="1"/>
    <col min="15123" max="15123" width="11.28515625" style="51" customWidth="1"/>
    <col min="15124" max="15124" width="15.28515625" style="51" customWidth="1"/>
    <col min="15125" max="15125" width="0.42578125" style="51" customWidth="1"/>
    <col min="15126" max="15127" width="11.42578125" style="51"/>
    <col min="15128" max="15128" width="6.85546875" style="51" customWidth="1"/>
    <col min="15129" max="15360" width="11.42578125" style="51"/>
    <col min="15361" max="15361" width="10.140625" style="51" customWidth="1"/>
    <col min="15362" max="15362" width="20" style="51" customWidth="1"/>
    <col min="15363" max="15363" width="2.85546875" style="51" customWidth="1"/>
    <col min="15364" max="15365" width="4.5703125" style="51" customWidth="1"/>
    <col min="15366" max="15366" width="5.5703125" style="51" customWidth="1"/>
    <col min="15367" max="15369" width="11" style="51" customWidth="1"/>
    <col min="15370" max="15370" width="15.28515625" style="51" customWidth="1"/>
    <col min="15371" max="15371" width="1" style="51" customWidth="1"/>
    <col min="15372" max="15372" width="20" style="51" customWidth="1"/>
    <col min="15373" max="15373" width="2.85546875" style="51" customWidth="1"/>
    <col min="15374" max="15374" width="5.5703125" style="51" customWidth="1"/>
    <col min="15375" max="15375" width="4.5703125" style="51" customWidth="1"/>
    <col min="15376" max="15376" width="5.5703125" style="51" customWidth="1"/>
    <col min="15377" max="15378" width="11" style="51" customWidth="1"/>
    <col min="15379" max="15379" width="11.28515625" style="51" customWidth="1"/>
    <col min="15380" max="15380" width="15.28515625" style="51" customWidth="1"/>
    <col min="15381" max="15381" width="0.42578125" style="51" customWidth="1"/>
    <col min="15382" max="15383" width="11.42578125" style="51"/>
    <col min="15384" max="15384" width="6.85546875" style="51" customWidth="1"/>
    <col min="15385" max="15616" width="11.42578125" style="51"/>
    <col min="15617" max="15617" width="10.140625" style="51" customWidth="1"/>
    <col min="15618" max="15618" width="20" style="51" customWidth="1"/>
    <col min="15619" max="15619" width="2.85546875" style="51" customWidth="1"/>
    <col min="15620" max="15621" width="4.5703125" style="51" customWidth="1"/>
    <col min="15622" max="15622" width="5.5703125" style="51" customWidth="1"/>
    <col min="15623" max="15625" width="11" style="51" customWidth="1"/>
    <col min="15626" max="15626" width="15.28515625" style="51" customWidth="1"/>
    <col min="15627" max="15627" width="1" style="51" customWidth="1"/>
    <col min="15628" max="15628" width="20" style="51" customWidth="1"/>
    <col min="15629" max="15629" width="2.85546875" style="51" customWidth="1"/>
    <col min="15630" max="15630" width="5.5703125" style="51" customWidth="1"/>
    <col min="15631" max="15631" width="4.5703125" style="51" customWidth="1"/>
    <col min="15632" max="15632" width="5.5703125" style="51" customWidth="1"/>
    <col min="15633" max="15634" width="11" style="51" customWidth="1"/>
    <col min="15635" max="15635" width="11.28515625" style="51" customWidth="1"/>
    <col min="15636" max="15636" width="15.28515625" style="51" customWidth="1"/>
    <col min="15637" max="15637" width="0.42578125" style="51" customWidth="1"/>
    <col min="15638" max="15639" width="11.42578125" style="51"/>
    <col min="15640" max="15640" width="6.85546875" style="51" customWidth="1"/>
    <col min="15641" max="15872" width="11.42578125" style="51"/>
    <col min="15873" max="15873" width="10.140625" style="51" customWidth="1"/>
    <col min="15874" max="15874" width="20" style="51" customWidth="1"/>
    <col min="15875" max="15875" width="2.85546875" style="51" customWidth="1"/>
    <col min="15876" max="15877" width="4.5703125" style="51" customWidth="1"/>
    <col min="15878" max="15878" width="5.5703125" style="51" customWidth="1"/>
    <col min="15879" max="15881" width="11" style="51" customWidth="1"/>
    <col min="15882" max="15882" width="15.28515625" style="51" customWidth="1"/>
    <col min="15883" max="15883" width="1" style="51" customWidth="1"/>
    <col min="15884" max="15884" width="20" style="51" customWidth="1"/>
    <col min="15885" max="15885" width="2.85546875" style="51" customWidth="1"/>
    <col min="15886" max="15886" width="5.5703125" style="51" customWidth="1"/>
    <col min="15887" max="15887" width="4.5703125" style="51" customWidth="1"/>
    <col min="15888" max="15888" width="5.5703125" style="51" customWidth="1"/>
    <col min="15889" max="15890" width="11" style="51" customWidth="1"/>
    <col min="15891" max="15891" width="11.28515625" style="51" customWidth="1"/>
    <col min="15892" max="15892" width="15.28515625" style="51" customWidth="1"/>
    <col min="15893" max="15893" width="0.42578125" style="51" customWidth="1"/>
    <col min="15894" max="15895" width="11.42578125" style="51"/>
    <col min="15896" max="15896" width="6.85546875" style="51" customWidth="1"/>
    <col min="15897" max="16128" width="11.42578125" style="51"/>
    <col min="16129" max="16129" width="10.140625" style="51" customWidth="1"/>
    <col min="16130" max="16130" width="20" style="51" customWidth="1"/>
    <col min="16131" max="16131" width="2.85546875" style="51" customWidth="1"/>
    <col min="16132" max="16133" width="4.5703125" style="51" customWidth="1"/>
    <col min="16134" max="16134" width="5.5703125" style="51" customWidth="1"/>
    <col min="16135" max="16137" width="11" style="51" customWidth="1"/>
    <col min="16138" max="16138" width="15.28515625" style="51" customWidth="1"/>
    <col min="16139" max="16139" width="1" style="51" customWidth="1"/>
    <col min="16140" max="16140" width="20" style="51" customWidth="1"/>
    <col min="16141" max="16141" width="2.85546875" style="51" customWidth="1"/>
    <col min="16142" max="16142" width="5.5703125" style="51" customWidth="1"/>
    <col min="16143" max="16143" width="4.5703125" style="51" customWidth="1"/>
    <col min="16144" max="16144" width="5.5703125" style="51" customWidth="1"/>
    <col min="16145" max="16146" width="11" style="51" customWidth="1"/>
    <col min="16147" max="16147" width="11.28515625" style="51" customWidth="1"/>
    <col min="16148" max="16148" width="15.28515625" style="51" customWidth="1"/>
    <col min="16149" max="16149" width="0.42578125" style="51" customWidth="1"/>
    <col min="16150" max="16151" width="11.42578125" style="51"/>
    <col min="16152" max="16152" width="6.85546875" style="51" customWidth="1"/>
    <col min="16153" max="16384" width="11.42578125" style="51"/>
  </cols>
  <sheetData>
    <row r="1" spans="2:30" ht="21.75" thickBot="1" x14ac:dyDescent="0.3">
      <c r="B1" s="164" t="s">
        <v>92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2:30" ht="29.25" thickBot="1" x14ac:dyDescent="0.3">
      <c r="B2" s="48" t="s">
        <v>0</v>
      </c>
      <c r="C2" s="52"/>
      <c r="D2" s="53"/>
      <c r="E2" s="54"/>
      <c r="F2" s="55"/>
      <c r="G2" s="55"/>
      <c r="H2" s="56"/>
      <c r="I2" s="56"/>
      <c r="J2" s="56"/>
      <c r="K2" s="57"/>
      <c r="L2" s="56"/>
      <c r="M2" s="58"/>
      <c r="N2" s="58"/>
      <c r="O2" s="58"/>
      <c r="P2" s="56"/>
      <c r="Q2" s="59" t="s">
        <v>93</v>
      </c>
      <c r="R2" s="59"/>
      <c r="S2" s="60">
        <v>14</v>
      </c>
      <c r="T2" s="56"/>
    </row>
    <row r="3" spans="2:30" ht="19.5" thickBot="1" x14ac:dyDescent="0.3">
      <c r="B3" s="48" t="s">
        <v>1</v>
      </c>
      <c r="C3" s="61"/>
      <c r="D3" s="62"/>
      <c r="E3" s="63"/>
      <c r="F3" s="64"/>
      <c r="G3" s="65"/>
      <c r="H3" s="56"/>
      <c r="I3" s="56"/>
      <c r="J3" s="56"/>
      <c r="K3" s="57"/>
      <c r="L3" s="56"/>
      <c r="M3" s="58"/>
      <c r="N3" s="58"/>
      <c r="O3" s="58"/>
      <c r="P3" s="56"/>
      <c r="Q3" s="59" t="s">
        <v>94</v>
      </c>
      <c r="R3" s="59"/>
      <c r="S3" s="60">
        <v>7</v>
      </c>
      <c r="T3" s="56"/>
    </row>
    <row r="4" spans="2:30" ht="32.25" thickBot="1" x14ac:dyDescent="0.3">
      <c r="B4" s="48" t="s">
        <v>95</v>
      </c>
      <c r="C4" s="52"/>
      <c r="D4" s="66"/>
      <c r="E4" s="67"/>
      <c r="F4" s="56"/>
      <c r="G4" s="56"/>
      <c r="H4" s="56"/>
      <c r="I4" s="56"/>
      <c r="J4" s="56"/>
      <c r="K4" s="57"/>
      <c r="L4" s="68" t="s">
        <v>95</v>
      </c>
      <c r="M4" s="69"/>
      <c r="N4" s="70"/>
      <c r="O4" s="71"/>
      <c r="P4" s="56"/>
      <c r="Q4" s="56"/>
      <c r="R4" s="56"/>
      <c r="S4" s="56"/>
      <c r="T4" s="56"/>
    </row>
    <row r="5" spans="2:30" ht="32.25" thickBot="1" x14ac:dyDescent="0.3">
      <c r="B5" s="48" t="s">
        <v>96</v>
      </c>
      <c r="C5" s="61"/>
      <c r="D5" s="72"/>
      <c r="E5" s="73"/>
      <c r="F5" s="74"/>
      <c r="G5" s="70"/>
      <c r="H5" s="74"/>
      <c r="I5" s="74"/>
      <c r="J5" s="75"/>
      <c r="K5" s="57"/>
      <c r="L5" s="68"/>
      <c r="M5" s="69"/>
      <c r="N5" s="73"/>
      <c r="O5" s="73"/>
      <c r="P5" s="74"/>
      <c r="Q5" s="70"/>
      <c r="R5" s="74"/>
      <c r="S5" s="74"/>
      <c r="T5" s="75"/>
    </row>
    <row r="6" spans="2:30" ht="21" x14ac:dyDescent="0.25">
      <c r="B6" s="76" t="s">
        <v>97</v>
      </c>
      <c r="C6" s="77"/>
      <c r="D6" s="78"/>
      <c r="E6" s="79"/>
      <c r="F6" s="165"/>
      <c r="G6" s="165"/>
      <c r="H6" s="165"/>
      <c r="I6" s="165"/>
      <c r="J6" s="165"/>
      <c r="K6" s="80"/>
      <c r="L6" s="76" t="s">
        <v>97</v>
      </c>
      <c r="M6" s="79"/>
      <c r="N6" s="81"/>
      <c r="O6" s="79"/>
      <c r="P6" s="165"/>
      <c r="Q6" s="165"/>
      <c r="R6" s="165"/>
      <c r="S6" s="165"/>
      <c r="T6" s="165"/>
    </row>
    <row r="7" spans="2:30" ht="33" x14ac:dyDescent="0.25">
      <c r="B7" s="82" t="s">
        <v>98</v>
      </c>
      <c r="C7" s="83" t="s">
        <v>99</v>
      </c>
      <c r="D7" s="84" t="s">
        <v>100</v>
      </c>
      <c r="E7" s="85" t="s">
        <v>101</v>
      </c>
      <c r="F7" s="86" t="s">
        <v>102</v>
      </c>
      <c r="G7" s="87" t="s">
        <v>103</v>
      </c>
      <c r="H7" s="87" t="s">
        <v>104</v>
      </c>
      <c r="I7" s="87" t="s">
        <v>105</v>
      </c>
      <c r="J7" s="87" t="s">
        <v>106</v>
      </c>
      <c r="K7" s="56" t="s">
        <v>107</v>
      </c>
      <c r="L7" s="82" t="s">
        <v>98</v>
      </c>
      <c r="M7" s="83" t="s">
        <v>99</v>
      </c>
      <c r="N7" s="84" t="s">
        <v>100</v>
      </c>
      <c r="O7" s="85" t="s">
        <v>101</v>
      </c>
      <c r="P7" s="86" t="s">
        <v>102</v>
      </c>
      <c r="Q7" s="87" t="s">
        <v>103</v>
      </c>
      <c r="R7" s="87" t="s">
        <v>104</v>
      </c>
      <c r="S7" s="87" t="s">
        <v>105</v>
      </c>
      <c r="T7" s="87" t="s">
        <v>106</v>
      </c>
      <c r="U7" s="56" t="s">
        <v>107</v>
      </c>
      <c r="AA7" s="86"/>
      <c r="AB7" s="88"/>
      <c r="AC7" s="85"/>
      <c r="AD7" s="89"/>
    </row>
    <row r="8" spans="2:30" ht="31.5" x14ac:dyDescent="0.25">
      <c r="F8" s="90"/>
      <c r="G8" s="90"/>
      <c r="H8" s="90"/>
      <c r="I8" s="90"/>
      <c r="J8" s="90"/>
      <c r="K8" s="96">
        <v>570</v>
      </c>
    </row>
    <row r="9" spans="2:30" ht="31.5" x14ac:dyDescent="0.25">
      <c r="F9" s="90"/>
      <c r="G9" s="90"/>
      <c r="H9" s="90"/>
      <c r="I9" s="90"/>
      <c r="J9" s="90"/>
      <c r="K9" s="96">
        <v>570</v>
      </c>
    </row>
    <row r="10" spans="2:30" ht="31.5" x14ac:dyDescent="0.25">
      <c r="F10" s="90"/>
      <c r="G10" s="90"/>
      <c r="H10" s="90"/>
      <c r="I10" s="90"/>
      <c r="J10" s="90"/>
      <c r="K10" s="96">
        <v>570</v>
      </c>
    </row>
    <row r="11" spans="2:30" ht="31.5" x14ac:dyDescent="0.25">
      <c r="F11" s="90"/>
      <c r="G11" s="90"/>
      <c r="H11" s="90"/>
      <c r="I11" s="90"/>
      <c r="J11" s="90"/>
      <c r="K11" s="96">
        <v>570</v>
      </c>
    </row>
    <row r="12" spans="2:30" x14ac:dyDescent="0.25">
      <c r="F12" s="90"/>
      <c r="G12" s="90"/>
      <c r="H12" s="90"/>
      <c r="I12" s="90"/>
      <c r="J12" s="90"/>
      <c r="K12" s="95"/>
      <c r="P12" s="90"/>
      <c r="Q12" s="90"/>
      <c r="R12" s="90"/>
      <c r="S12" s="90"/>
      <c r="T12" s="90"/>
      <c r="U12" s="90"/>
    </row>
    <row r="13" spans="2:30" ht="31.5" x14ac:dyDescent="0.25">
      <c r="F13" s="99"/>
      <c r="G13" s="90"/>
      <c r="H13" s="90"/>
      <c r="I13" s="90"/>
      <c r="J13" s="90"/>
      <c r="K13" s="95"/>
      <c r="P13" s="90"/>
      <c r="Q13" s="90"/>
      <c r="R13" s="90"/>
      <c r="S13" s="90"/>
      <c r="T13" s="90"/>
      <c r="U13" s="90"/>
    </row>
    <row r="14" spans="2:30" x14ac:dyDescent="0.25">
      <c r="K14" s="95"/>
      <c r="P14" s="120"/>
      <c r="Q14" s="90"/>
      <c r="R14" s="90"/>
      <c r="S14" s="90"/>
      <c r="T14" s="90"/>
      <c r="U14" s="90"/>
    </row>
    <row r="15" spans="2:30" ht="31.5" x14ac:dyDescent="0.25">
      <c r="L15" s="96"/>
      <c r="M15" s="125"/>
      <c r="N15" s="124"/>
      <c r="O15" s="104"/>
      <c r="P15" s="120" t="s">
        <v>109</v>
      </c>
      <c r="Q15" s="90"/>
      <c r="R15" s="90"/>
      <c r="S15" s="90"/>
      <c r="T15" s="90"/>
    </row>
    <row r="16" spans="2:30" ht="19.5" thickBot="1" x14ac:dyDescent="0.3"/>
    <row r="17" spans="2:20" x14ac:dyDescent="0.25">
      <c r="L17" s="106" t="s">
        <v>110</v>
      </c>
    </row>
    <row r="18" spans="2:20" x14ac:dyDescent="0.25">
      <c r="L18" s="107" t="s">
        <v>111</v>
      </c>
    </row>
    <row r="19" spans="2:20" x14ac:dyDescent="0.25">
      <c r="L19" s="107" t="s">
        <v>112</v>
      </c>
    </row>
    <row r="20" spans="2:20" x14ac:dyDescent="0.25">
      <c r="L20" s="107" t="s">
        <v>113</v>
      </c>
      <c r="P20" s="109"/>
    </row>
    <row r="21" spans="2:20" x14ac:dyDescent="0.25">
      <c r="L21" s="107" t="s">
        <v>114</v>
      </c>
    </row>
    <row r="22" spans="2:20" ht="19.5" thickBot="1" x14ac:dyDescent="0.3">
      <c r="L22" s="111" t="s">
        <v>115</v>
      </c>
    </row>
    <row r="24" spans="2:20" x14ac:dyDescent="0.25">
      <c r="B24" s="51" t="s">
        <v>116</v>
      </c>
      <c r="F24" s="112"/>
      <c r="G24" s="112"/>
      <c r="H24" s="112"/>
      <c r="I24" s="112"/>
      <c r="J24" s="112"/>
      <c r="L24" s="51" t="s">
        <v>116</v>
      </c>
      <c r="P24" s="112"/>
      <c r="Q24" s="112"/>
      <c r="R24" s="112"/>
      <c r="S24" s="112"/>
      <c r="T24" s="112"/>
    </row>
    <row r="26" spans="2:20" x14ac:dyDescent="0.25">
      <c r="B26" s="113" t="s">
        <v>117</v>
      </c>
      <c r="C26" s="114"/>
      <c r="D26" s="114"/>
      <c r="E26" s="115"/>
      <c r="F26" s="113"/>
      <c r="G26" s="113"/>
      <c r="H26" s="113"/>
      <c r="I26" s="113"/>
      <c r="J26" s="113"/>
      <c r="K26" s="116"/>
      <c r="L26" s="113"/>
      <c r="M26" s="115"/>
      <c r="N26" s="115"/>
      <c r="O26" s="115"/>
      <c r="P26" s="113"/>
      <c r="Q26" s="113"/>
      <c r="R26" s="113"/>
      <c r="S26" s="113"/>
    </row>
    <row r="27" spans="2:20" x14ac:dyDescent="0.25">
      <c r="B27" s="113"/>
      <c r="C27" s="114"/>
      <c r="D27" s="114"/>
      <c r="E27" s="115"/>
      <c r="F27" s="113"/>
      <c r="G27" s="113"/>
      <c r="H27" s="113"/>
      <c r="I27" s="113"/>
      <c r="J27" s="113"/>
      <c r="K27" s="116"/>
      <c r="L27" s="113"/>
      <c r="M27" s="115"/>
      <c r="N27" s="115"/>
      <c r="O27" s="115"/>
      <c r="P27" s="113"/>
      <c r="Q27" s="113"/>
      <c r="R27" s="113"/>
      <c r="S27" s="113"/>
    </row>
    <row r="28" spans="2:20" ht="21" x14ac:dyDescent="0.25">
      <c r="B28" s="117" t="s">
        <v>118</v>
      </c>
      <c r="C28" s="118"/>
      <c r="D28" s="118">
        <v>1</v>
      </c>
      <c r="E28" s="117" t="s">
        <v>119</v>
      </c>
      <c r="F28" s="117"/>
      <c r="L28" s="117" t="s">
        <v>120</v>
      </c>
      <c r="M28" s="117"/>
      <c r="N28" s="117">
        <v>4</v>
      </c>
      <c r="O28" s="117" t="s">
        <v>119</v>
      </c>
      <c r="P28" s="117"/>
    </row>
    <row r="29" spans="2:20" ht="21" x14ac:dyDescent="0.25">
      <c r="B29" s="117" t="s">
        <v>121</v>
      </c>
      <c r="C29" s="118"/>
      <c r="D29" s="118">
        <v>2</v>
      </c>
      <c r="E29" s="117" t="s">
        <v>82</v>
      </c>
      <c r="F29" s="117"/>
      <c r="L29" s="117" t="s">
        <v>122</v>
      </c>
      <c r="M29" s="117"/>
      <c r="N29" s="117">
        <v>5</v>
      </c>
      <c r="O29" s="117" t="s">
        <v>82</v>
      </c>
      <c r="P29" s="117"/>
    </row>
    <row r="30" spans="2:20" ht="21" x14ac:dyDescent="0.25">
      <c r="B30" s="117" t="s">
        <v>123</v>
      </c>
      <c r="C30" s="118"/>
      <c r="D30" s="118">
        <v>3</v>
      </c>
      <c r="E30" s="117" t="s">
        <v>82</v>
      </c>
      <c r="F30" s="117"/>
      <c r="L30" s="117" t="s">
        <v>124</v>
      </c>
      <c r="M30" s="117"/>
      <c r="N30" s="117">
        <v>6</v>
      </c>
      <c r="O30" s="117" t="s">
        <v>82</v>
      </c>
      <c r="P30" s="117"/>
    </row>
  </sheetData>
  <mergeCells count="3">
    <mergeCell ref="B1:R1"/>
    <mergeCell ref="F6:J6"/>
    <mergeCell ref="P6:T6"/>
  </mergeCells>
  <pageMargins left="0.7" right="0.7" top="0.78740157499999996" bottom="0.78740157499999996" header="0.3" footer="0.3"/>
  <pageSetup paperSize="9" scale="5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opLeftCell="A4" workbookViewId="0">
      <selection activeCell="L23" sqref="L23"/>
    </sheetView>
  </sheetViews>
  <sheetFormatPr baseColWidth="10" defaultRowHeight="15" x14ac:dyDescent="0.25"/>
  <cols>
    <col min="2" max="2" width="11.42578125" style="133"/>
    <col min="3" max="3" width="11.42578125" style="134"/>
    <col min="4" max="4" width="11.42578125" style="135"/>
    <col min="5" max="5" width="11.42578125" style="134"/>
    <col min="6" max="6" width="11.42578125" style="135"/>
    <col min="7" max="7" width="11.42578125" style="134"/>
    <col min="8" max="8" width="11.42578125" style="135"/>
    <col min="9" max="14" width="11.42578125" style="133"/>
  </cols>
  <sheetData>
    <row r="1" spans="2:8" customFormat="1" x14ac:dyDescent="0.25">
      <c r="B1" s="133"/>
      <c r="C1" s="134"/>
      <c r="D1" s="135"/>
      <c r="E1" s="134"/>
      <c r="F1" s="135"/>
      <c r="G1" s="134"/>
      <c r="H1" s="135"/>
    </row>
    <row r="4" spans="2:8" customFormat="1" ht="23.25" x14ac:dyDescent="0.35">
      <c r="B4" s="5" t="s">
        <v>143</v>
      </c>
      <c r="C4" s="136" t="s">
        <v>100</v>
      </c>
      <c r="D4" s="5" t="s">
        <v>143</v>
      </c>
      <c r="E4" s="136" t="s">
        <v>100</v>
      </c>
      <c r="F4" s="5" t="s">
        <v>143</v>
      </c>
      <c r="G4" s="136" t="s">
        <v>100</v>
      </c>
      <c r="H4" s="10"/>
    </row>
    <row r="5" spans="2:8" customFormat="1" ht="23.25" x14ac:dyDescent="0.35">
      <c r="B5" s="5"/>
      <c r="C5" s="136"/>
      <c r="D5" s="10"/>
      <c r="E5" s="136"/>
      <c r="F5" s="10"/>
      <c r="G5" s="136"/>
      <c r="H5" s="10"/>
    </row>
    <row r="6" spans="2:8" customFormat="1" ht="23.25" x14ac:dyDescent="0.35">
      <c r="B6" s="5">
        <v>120</v>
      </c>
      <c r="C6" s="136">
        <f t="shared" ref="C6:C36" si="0">SUM(200-B6)*0.8</f>
        <v>64</v>
      </c>
      <c r="D6" s="10">
        <v>151</v>
      </c>
      <c r="E6" s="136">
        <f t="shared" ref="E6:E36" si="1">SUM(200-D6)*0.8</f>
        <v>39.200000000000003</v>
      </c>
      <c r="F6" s="10">
        <v>182</v>
      </c>
      <c r="G6" s="136">
        <f>SUM(200-F6)*0.8</f>
        <v>14.4</v>
      </c>
      <c r="H6" s="10"/>
    </row>
    <row r="7" spans="2:8" customFormat="1" ht="23.25" x14ac:dyDescent="0.35">
      <c r="B7" s="5">
        <v>121</v>
      </c>
      <c r="C7" s="136">
        <f t="shared" si="0"/>
        <v>63.2</v>
      </c>
      <c r="D7" s="10">
        <v>152</v>
      </c>
      <c r="E7" s="136">
        <f t="shared" si="1"/>
        <v>38.400000000000006</v>
      </c>
      <c r="F7" s="10">
        <v>183</v>
      </c>
      <c r="G7" s="136">
        <f t="shared" ref="G7:G24" si="2">SUM(200-F7)*0.8</f>
        <v>13.600000000000001</v>
      </c>
      <c r="H7" s="10"/>
    </row>
    <row r="8" spans="2:8" customFormat="1" ht="23.25" x14ac:dyDescent="0.35">
      <c r="B8" s="5">
        <v>122</v>
      </c>
      <c r="C8" s="136">
        <f t="shared" si="0"/>
        <v>62.400000000000006</v>
      </c>
      <c r="D8" s="10">
        <v>153</v>
      </c>
      <c r="E8" s="136">
        <f t="shared" si="1"/>
        <v>37.6</v>
      </c>
      <c r="F8" s="10">
        <v>184</v>
      </c>
      <c r="G8" s="136">
        <f t="shared" si="2"/>
        <v>12.8</v>
      </c>
      <c r="H8" s="10"/>
    </row>
    <row r="9" spans="2:8" customFormat="1" ht="23.25" x14ac:dyDescent="0.35">
      <c r="B9" s="5">
        <v>123</v>
      </c>
      <c r="C9" s="136">
        <f t="shared" si="0"/>
        <v>61.6</v>
      </c>
      <c r="D9" s="10">
        <v>154</v>
      </c>
      <c r="E9" s="136">
        <f t="shared" si="1"/>
        <v>36.800000000000004</v>
      </c>
      <c r="F9" s="10">
        <v>185</v>
      </c>
      <c r="G9" s="136">
        <f t="shared" si="2"/>
        <v>12</v>
      </c>
      <c r="H9" s="10"/>
    </row>
    <row r="10" spans="2:8" customFormat="1" ht="23.25" x14ac:dyDescent="0.35">
      <c r="B10" s="5">
        <v>124</v>
      </c>
      <c r="C10" s="136">
        <f t="shared" si="0"/>
        <v>60.800000000000004</v>
      </c>
      <c r="D10" s="10">
        <v>155</v>
      </c>
      <c r="E10" s="136">
        <f t="shared" si="1"/>
        <v>36</v>
      </c>
      <c r="F10" s="10">
        <v>186</v>
      </c>
      <c r="G10" s="136">
        <f t="shared" si="2"/>
        <v>11.200000000000001</v>
      </c>
      <c r="H10" s="10"/>
    </row>
    <row r="11" spans="2:8" customFormat="1" ht="23.25" x14ac:dyDescent="0.35">
      <c r="B11" s="5">
        <v>125</v>
      </c>
      <c r="C11" s="136">
        <f t="shared" si="0"/>
        <v>60</v>
      </c>
      <c r="D11" s="10">
        <v>156</v>
      </c>
      <c r="E11" s="136">
        <f t="shared" si="1"/>
        <v>35.200000000000003</v>
      </c>
      <c r="F11" s="10">
        <v>187</v>
      </c>
      <c r="G11" s="136">
        <f t="shared" si="2"/>
        <v>10.4</v>
      </c>
      <c r="H11" s="10"/>
    </row>
    <row r="12" spans="2:8" customFormat="1" ht="23.25" x14ac:dyDescent="0.35">
      <c r="B12" s="5">
        <v>126</v>
      </c>
      <c r="C12" s="136">
        <f t="shared" si="0"/>
        <v>59.2</v>
      </c>
      <c r="D12" s="10">
        <v>157</v>
      </c>
      <c r="E12" s="136">
        <f t="shared" si="1"/>
        <v>34.4</v>
      </c>
      <c r="F12" s="10">
        <v>188</v>
      </c>
      <c r="G12" s="136">
        <f t="shared" si="2"/>
        <v>9.6000000000000014</v>
      </c>
      <c r="H12" s="10"/>
    </row>
    <row r="13" spans="2:8" customFormat="1" ht="23.25" x14ac:dyDescent="0.35">
      <c r="B13" s="5">
        <v>127</v>
      </c>
      <c r="C13" s="136">
        <f t="shared" si="0"/>
        <v>58.400000000000006</v>
      </c>
      <c r="D13" s="10">
        <v>158</v>
      </c>
      <c r="E13" s="136">
        <f t="shared" si="1"/>
        <v>33.6</v>
      </c>
      <c r="F13" s="10">
        <v>189</v>
      </c>
      <c r="G13" s="136">
        <f t="shared" si="2"/>
        <v>8.8000000000000007</v>
      </c>
      <c r="H13" s="10"/>
    </row>
    <row r="14" spans="2:8" customFormat="1" ht="23.25" x14ac:dyDescent="0.35">
      <c r="B14" s="5">
        <v>128</v>
      </c>
      <c r="C14" s="136">
        <f t="shared" si="0"/>
        <v>57.6</v>
      </c>
      <c r="D14" s="10">
        <v>159</v>
      </c>
      <c r="E14" s="136">
        <f t="shared" si="1"/>
        <v>32.800000000000004</v>
      </c>
      <c r="F14" s="10">
        <v>190</v>
      </c>
      <c r="G14" s="136">
        <f t="shared" si="2"/>
        <v>8</v>
      </c>
      <c r="H14" s="10"/>
    </row>
    <row r="15" spans="2:8" customFormat="1" ht="23.25" x14ac:dyDescent="0.35">
      <c r="B15" s="5">
        <v>129</v>
      </c>
      <c r="C15" s="136">
        <f t="shared" si="0"/>
        <v>56.800000000000004</v>
      </c>
      <c r="D15" s="10">
        <v>160</v>
      </c>
      <c r="E15" s="136">
        <f t="shared" si="1"/>
        <v>32</v>
      </c>
      <c r="F15" s="10">
        <v>191</v>
      </c>
      <c r="G15" s="136">
        <f t="shared" si="2"/>
        <v>7.2</v>
      </c>
      <c r="H15" s="10"/>
    </row>
    <row r="16" spans="2:8" customFormat="1" ht="23.25" x14ac:dyDescent="0.35">
      <c r="B16" s="5">
        <v>130</v>
      </c>
      <c r="C16" s="136">
        <f t="shared" si="0"/>
        <v>56</v>
      </c>
      <c r="D16" s="10">
        <v>161</v>
      </c>
      <c r="E16" s="136">
        <f t="shared" si="1"/>
        <v>31.200000000000003</v>
      </c>
      <c r="F16" s="10">
        <v>192</v>
      </c>
      <c r="G16" s="136">
        <f t="shared" si="2"/>
        <v>6.4</v>
      </c>
      <c r="H16" s="10"/>
    </row>
    <row r="17" spans="2:8" customFormat="1" ht="23.25" x14ac:dyDescent="0.35">
      <c r="B17" s="5">
        <v>131</v>
      </c>
      <c r="C17" s="136">
        <f t="shared" si="0"/>
        <v>55.2</v>
      </c>
      <c r="D17" s="10">
        <v>162</v>
      </c>
      <c r="E17" s="136">
        <f t="shared" si="1"/>
        <v>30.400000000000002</v>
      </c>
      <c r="F17" s="10">
        <v>193</v>
      </c>
      <c r="G17" s="136">
        <f t="shared" si="2"/>
        <v>5.6000000000000005</v>
      </c>
      <c r="H17" s="10"/>
    </row>
    <row r="18" spans="2:8" customFormat="1" ht="23.25" x14ac:dyDescent="0.35">
      <c r="B18" s="5">
        <v>132</v>
      </c>
      <c r="C18" s="136">
        <f t="shared" si="0"/>
        <v>54.400000000000006</v>
      </c>
      <c r="D18" s="10">
        <v>163</v>
      </c>
      <c r="E18" s="136">
        <f t="shared" si="1"/>
        <v>29.6</v>
      </c>
      <c r="F18" s="10">
        <v>194</v>
      </c>
      <c r="G18" s="136">
        <f t="shared" si="2"/>
        <v>4.8000000000000007</v>
      </c>
      <c r="H18" s="10"/>
    </row>
    <row r="19" spans="2:8" customFormat="1" ht="23.25" x14ac:dyDescent="0.35">
      <c r="B19" s="5">
        <v>133</v>
      </c>
      <c r="C19" s="136">
        <f t="shared" si="0"/>
        <v>53.6</v>
      </c>
      <c r="D19" s="10">
        <v>164</v>
      </c>
      <c r="E19" s="136">
        <f t="shared" si="1"/>
        <v>28.8</v>
      </c>
      <c r="F19" s="10">
        <v>195</v>
      </c>
      <c r="G19" s="136">
        <f t="shared" si="2"/>
        <v>4</v>
      </c>
      <c r="H19" s="10"/>
    </row>
    <row r="20" spans="2:8" customFormat="1" ht="23.25" x14ac:dyDescent="0.35">
      <c r="B20" s="5">
        <v>134</v>
      </c>
      <c r="C20" s="136">
        <f t="shared" si="0"/>
        <v>52.800000000000004</v>
      </c>
      <c r="D20" s="10">
        <v>165</v>
      </c>
      <c r="E20" s="136">
        <f t="shared" si="1"/>
        <v>28</v>
      </c>
      <c r="F20" s="10">
        <v>196</v>
      </c>
      <c r="G20" s="136">
        <f t="shared" si="2"/>
        <v>3.2</v>
      </c>
      <c r="H20" s="10"/>
    </row>
    <row r="21" spans="2:8" customFormat="1" ht="23.25" x14ac:dyDescent="0.35">
      <c r="B21" s="5">
        <v>135</v>
      </c>
      <c r="C21" s="136">
        <f t="shared" si="0"/>
        <v>52</v>
      </c>
      <c r="D21" s="10">
        <v>166</v>
      </c>
      <c r="E21" s="136">
        <f t="shared" si="1"/>
        <v>27.200000000000003</v>
      </c>
      <c r="F21" s="10">
        <v>197</v>
      </c>
      <c r="G21" s="136">
        <f t="shared" si="2"/>
        <v>2.4000000000000004</v>
      </c>
      <c r="H21" s="10"/>
    </row>
    <row r="22" spans="2:8" customFormat="1" ht="23.25" x14ac:dyDescent="0.35">
      <c r="B22" s="5">
        <v>136</v>
      </c>
      <c r="C22" s="136">
        <f t="shared" si="0"/>
        <v>51.2</v>
      </c>
      <c r="D22" s="10">
        <v>167</v>
      </c>
      <c r="E22" s="136">
        <f t="shared" si="1"/>
        <v>26.400000000000002</v>
      </c>
      <c r="F22" s="10">
        <v>198</v>
      </c>
      <c r="G22" s="136">
        <f t="shared" si="2"/>
        <v>1.6</v>
      </c>
      <c r="H22" s="10"/>
    </row>
    <row r="23" spans="2:8" customFormat="1" ht="23.25" x14ac:dyDescent="0.35">
      <c r="B23" s="5">
        <v>137</v>
      </c>
      <c r="C23" s="136">
        <f t="shared" si="0"/>
        <v>50.400000000000006</v>
      </c>
      <c r="D23" s="10">
        <v>168</v>
      </c>
      <c r="E23" s="136">
        <f t="shared" si="1"/>
        <v>25.6</v>
      </c>
      <c r="F23" s="10">
        <v>199</v>
      </c>
      <c r="G23" s="136">
        <f t="shared" si="2"/>
        <v>0.8</v>
      </c>
      <c r="H23" s="10"/>
    </row>
    <row r="24" spans="2:8" customFormat="1" ht="23.25" x14ac:dyDescent="0.35">
      <c r="B24" s="5">
        <v>138</v>
      </c>
      <c r="C24" s="136">
        <f t="shared" si="0"/>
        <v>49.6</v>
      </c>
      <c r="D24" s="10">
        <v>169</v>
      </c>
      <c r="E24" s="136">
        <f t="shared" si="1"/>
        <v>24.8</v>
      </c>
      <c r="F24" s="10">
        <v>200</v>
      </c>
      <c r="G24" s="136">
        <f t="shared" si="2"/>
        <v>0</v>
      </c>
      <c r="H24" s="10"/>
    </row>
    <row r="25" spans="2:8" customFormat="1" ht="23.25" x14ac:dyDescent="0.35">
      <c r="B25" s="5">
        <v>139</v>
      </c>
      <c r="C25" s="136">
        <f t="shared" si="0"/>
        <v>48.800000000000004</v>
      </c>
      <c r="D25" s="10">
        <v>170</v>
      </c>
      <c r="E25" s="136">
        <f t="shared" si="1"/>
        <v>24</v>
      </c>
      <c r="F25" s="10"/>
      <c r="G25" s="136"/>
      <c r="H25" s="10"/>
    </row>
    <row r="26" spans="2:8" customFormat="1" ht="23.25" x14ac:dyDescent="0.35">
      <c r="B26" s="5">
        <v>140</v>
      </c>
      <c r="C26" s="136">
        <f t="shared" si="0"/>
        <v>48</v>
      </c>
      <c r="D26" s="10">
        <v>171</v>
      </c>
      <c r="E26" s="136">
        <f t="shared" si="1"/>
        <v>23.200000000000003</v>
      </c>
      <c r="F26" s="10"/>
      <c r="G26" s="136"/>
      <c r="H26" s="10"/>
    </row>
    <row r="27" spans="2:8" customFormat="1" ht="23.25" x14ac:dyDescent="0.35">
      <c r="B27" s="5">
        <v>141</v>
      </c>
      <c r="C27" s="136">
        <f t="shared" si="0"/>
        <v>47.2</v>
      </c>
      <c r="D27" s="10">
        <v>172</v>
      </c>
      <c r="E27" s="136">
        <f t="shared" si="1"/>
        <v>22.400000000000002</v>
      </c>
      <c r="F27" s="10"/>
      <c r="G27" s="136"/>
      <c r="H27" s="10"/>
    </row>
    <row r="28" spans="2:8" customFormat="1" ht="23.25" x14ac:dyDescent="0.35">
      <c r="B28" s="5">
        <v>142</v>
      </c>
      <c r="C28" s="136">
        <f t="shared" si="0"/>
        <v>46.400000000000006</v>
      </c>
      <c r="D28" s="10">
        <v>173</v>
      </c>
      <c r="E28" s="136">
        <f t="shared" si="1"/>
        <v>21.6</v>
      </c>
      <c r="F28" s="10"/>
      <c r="G28" s="136"/>
      <c r="H28" s="10"/>
    </row>
    <row r="29" spans="2:8" customFormat="1" ht="23.25" x14ac:dyDescent="0.35">
      <c r="B29" s="5">
        <v>143</v>
      </c>
      <c r="C29" s="136">
        <f t="shared" si="0"/>
        <v>45.6</v>
      </c>
      <c r="D29" s="10">
        <v>174</v>
      </c>
      <c r="E29" s="136">
        <f t="shared" si="1"/>
        <v>20.8</v>
      </c>
      <c r="F29" s="10"/>
      <c r="G29" s="136"/>
      <c r="H29" s="10"/>
    </row>
    <row r="30" spans="2:8" customFormat="1" ht="23.25" x14ac:dyDescent="0.35">
      <c r="B30" s="5">
        <v>144</v>
      </c>
      <c r="C30" s="136">
        <f t="shared" si="0"/>
        <v>44.800000000000004</v>
      </c>
      <c r="D30" s="10">
        <v>175</v>
      </c>
      <c r="E30" s="136">
        <f t="shared" si="1"/>
        <v>20</v>
      </c>
      <c r="F30" s="10"/>
      <c r="G30" s="136"/>
      <c r="H30" s="10"/>
    </row>
    <row r="31" spans="2:8" customFormat="1" ht="23.25" x14ac:dyDescent="0.35">
      <c r="B31" s="5">
        <v>145</v>
      </c>
      <c r="C31" s="136">
        <f t="shared" si="0"/>
        <v>44</v>
      </c>
      <c r="D31" s="10">
        <v>176</v>
      </c>
      <c r="E31" s="136">
        <f t="shared" si="1"/>
        <v>19.200000000000003</v>
      </c>
      <c r="F31" s="10"/>
      <c r="G31" s="136"/>
      <c r="H31" s="10"/>
    </row>
    <row r="32" spans="2:8" customFormat="1" ht="23.25" x14ac:dyDescent="0.35">
      <c r="B32" s="5">
        <v>146</v>
      </c>
      <c r="C32" s="136">
        <f t="shared" si="0"/>
        <v>43.2</v>
      </c>
      <c r="D32" s="10">
        <v>177</v>
      </c>
      <c r="E32" s="136">
        <f t="shared" si="1"/>
        <v>18.400000000000002</v>
      </c>
      <c r="F32" s="10"/>
      <c r="G32" s="136"/>
      <c r="H32" s="10"/>
    </row>
    <row r="33" spans="2:8" customFormat="1" ht="23.25" x14ac:dyDescent="0.35">
      <c r="B33" s="5">
        <v>147</v>
      </c>
      <c r="C33" s="136">
        <f t="shared" si="0"/>
        <v>42.400000000000006</v>
      </c>
      <c r="D33" s="10">
        <v>178</v>
      </c>
      <c r="E33" s="136">
        <f t="shared" si="1"/>
        <v>17.600000000000001</v>
      </c>
      <c r="F33" s="10"/>
      <c r="G33" s="136"/>
      <c r="H33" s="10"/>
    </row>
    <row r="34" spans="2:8" customFormat="1" ht="23.25" x14ac:dyDescent="0.35">
      <c r="B34" s="5">
        <v>148</v>
      </c>
      <c r="C34" s="136">
        <f t="shared" si="0"/>
        <v>41.6</v>
      </c>
      <c r="D34" s="10">
        <v>179</v>
      </c>
      <c r="E34" s="136">
        <f t="shared" si="1"/>
        <v>16.8</v>
      </c>
      <c r="F34" s="10"/>
      <c r="G34" s="136"/>
      <c r="H34" s="10"/>
    </row>
    <row r="35" spans="2:8" customFormat="1" ht="23.25" x14ac:dyDescent="0.35">
      <c r="B35" s="5">
        <v>149</v>
      </c>
      <c r="C35" s="136">
        <f t="shared" si="0"/>
        <v>40.800000000000004</v>
      </c>
      <c r="D35" s="10">
        <v>180</v>
      </c>
      <c r="E35" s="136">
        <f t="shared" si="1"/>
        <v>16</v>
      </c>
      <c r="F35" s="10"/>
      <c r="G35" s="136"/>
      <c r="H35" s="10"/>
    </row>
    <row r="36" spans="2:8" customFormat="1" ht="23.25" x14ac:dyDescent="0.35">
      <c r="B36" s="5">
        <v>150</v>
      </c>
      <c r="C36" s="136">
        <f t="shared" si="0"/>
        <v>40</v>
      </c>
      <c r="D36" s="10">
        <v>181</v>
      </c>
      <c r="E36" s="136">
        <f t="shared" si="1"/>
        <v>15.200000000000001</v>
      </c>
      <c r="F36" s="10"/>
      <c r="G36" s="136"/>
      <c r="H36" s="10"/>
    </row>
    <row r="37" spans="2:8" customFormat="1" ht="23.25" x14ac:dyDescent="0.35">
      <c r="B37" s="5"/>
      <c r="C37" s="136"/>
      <c r="D37" s="10"/>
      <c r="E37" s="136"/>
      <c r="F37" s="10"/>
      <c r="G37" s="136"/>
      <c r="H37" s="10"/>
    </row>
    <row r="38" spans="2:8" customFormat="1" ht="23.25" x14ac:dyDescent="0.35">
      <c r="B38" s="5"/>
      <c r="C38" s="136"/>
      <c r="D38" s="10"/>
      <c r="E38" s="136"/>
      <c r="F38" s="10"/>
      <c r="G38" s="136"/>
      <c r="H38" s="10"/>
    </row>
  </sheetData>
  <pageMargins left="0.7" right="0.7" top="0.78740157499999996" bottom="0.78740157499999996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5" workbookViewId="0">
      <selection activeCell="D4" sqref="D4"/>
    </sheetView>
  </sheetViews>
  <sheetFormatPr baseColWidth="10" defaultRowHeight="15" x14ac:dyDescent="0.25"/>
  <cols>
    <col min="3" max="3" width="13" customWidth="1"/>
    <col min="4" max="4" width="13.140625" customWidth="1"/>
    <col min="5" max="5" width="13" customWidth="1"/>
    <col min="6" max="6" width="13.28515625" customWidth="1"/>
    <col min="7" max="7" width="13.7109375" customWidth="1"/>
  </cols>
  <sheetData>
    <row r="1" spans="1:7" ht="14.25" customHeight="1" x14ac:dyDescent="0.25">
      <c r="A1" s="137" t="s">
        <v>147</v>
      </c>
      <c r="B1" s="138"/>
      <c r="C1" s="138" t="s">
        <v>148</v>
      </c>
      <c r="D1" s="138" t="s">
        <v>149</v>
      </c>
      <c r="E1" s="138" t="s">
        <v>150</v>
      </c>
      <c r="F1" s="138" t="s">
        <v>151</v>
      </c>
      <c r="G1" s="138" t="s">
        <v>152</v>
      </c>
    </row>
    <row r="2" spans="1:7" ht="15.75" x14ac:dyDescent="0.25">
      <c r="A2" s="137">
        <v>1</v>
      </c>
      <c r="B2" s="139">
        <v>46267</v>
      </c>
      <c r="C2" s="140" t="s">
        <v>154</v>
      </c>
      <c r="D2" s="140" t="s">
        <v>155</v>
      </c>
      <c r="E2" s="140" t="s">
        <v>156</v>
      </c>
      <c r="F2" s="140" t="s">
        <v>157</v>
      </c>
      <c r="G2" s="140" t="s">
        <v>158</v>
      </c>
    </row>
    <row r="3" spans="1:7" ht="15.75" x14ac:dyDescent="0.25">
      <c r="A3" s="141">
        <v>2</v>
      </c>
      <c r="B3" s="142">
        <v>46274</v>
      </c>
      <c r="C3" s="143" t="s">
        <v>159</v>
      </c>
      <c r="D3" s="143" t="s">
        <v>160</v>
      </c>
      <c r="E3" s="143" t="s">
        <v>161</v>
      </c>
      <c r="F3" s="143" t="s">
        <v>162</v>
      </c>
      <c r="G3" s="143" t="s">
        <v>163</v>
      </c>
    </row>
    <row r="4" spans="1:7" ht="15.75" x14ac:dyDescent="0.25">
      <c r="A4" s="141">
        <v>3</v>
      </c>
      <c r="B4" s="142">
        <v>46281</v>
      </c>
      <c r="C4" s="143" t="s">
        <v>164</v>
      </c>
      <c r="D4" s="143" t="s">
        <v>165</v>
      </c>
      <c r="E4" s="143" t="s">
        <v>166</v>
      </c>
      <c r="F4" s="143" t="s">
        <v>167</v>
      </c>
      <c r="G4" s="143" t="s">
        <v>168</v>
      </c>
    </row>
    <row r="5" spans="1:7" ht="15.75" x14ac:dyDescent="0.25">
      <c r="A5" s="141">
        <v>4</v>
      </c>
      <c r="B5" s="142">
        <v>46288</v>
      </c>
      <c r="C5" s="143" t="s">
        <v>169</v>
      </c>
      <c r="D5" s="143" t="s">
        <v>170</v>
      </c>
      <c r="E5" s="143" t="s">
        <v>171</v>
      </c>
      <c r="F5" s="143" t="s">
        <v>172</v>
      </c>
      <c r="G5" s="143" t="s">
        <v>173</v>
      </c>
    </row>
    <row r="6" spans="1:7" ht="31.5" x14ac:dyDescent="0.25">
      <c r="A6" s="137">
        <v>5</v>
      </c>
      <c r="B6" s="139">
        <v>46295</v>
      </c>
      <c r="C6" s="140" t="s">
        <v>153</v>
      </c>
      <c r="D6" s="140" t="s">
        <v>153</v>
      </c>
      <c r="E6" s="140" t="s">
        <v>153</v>
      </c>
      <c r="F6" s="140" t="s">
        <v>153</v>
      </c>
      <c r="G6" s="140" t="s">
        <v>153</v>
      </c>
    </row>
    <row r="7" spans="1:7" ht="15.75" x14ac:dyDescent="0.25">
      <c r="A7" s="141">
        <v>6</v>
      </c>
      <c r="B7" s="142">
        <v>46302</v>
      </c>
      <c r="C7" s="143" t="s">
        <v>174</v>
      </c>
      <c r="D7" s="143" t="s">
        <v>175</v>
      </c>
      <c r="E7" s="143" t="s">
        <v>176</v>
      </c>
      <c r="F7" s="143" t="s">
        <v>177</v>
      </c>
      <c r="G7" s="143" t="s">
        <v>178</v>
      </c>
    </row>
    <row r="8" spans="1:7" ht="15.75" x14ac:dyDescent="0.25">
      <c r="A8" s="141">
        <v>7</v>
      </c>
      <c r="B8" s="142">
        <v>46309</v>
      </c>
      <c r="C8" s="143" t="s">
        <v>179</v>
      </c>
      <c r="D8" s="143" t="s">
        <v>180</v>
      </c>
      <c r="E8" s="143" t="s">
        <v>181</v>
      </c>
      <c r="F8" s="143" t="s">
        <v>182</v>
      </c>
      <c r="G8" s="143" t="s">
        <v>183</v>
      </c>
    </row>
    <row r="9" spans="1:7" ht="15.75" x14ac:dyDescent="0.25">
      <c r="A9" s="141">
        <v>8</v>
      </c>
      <c r="B9" s="142">
        <v>46316</v>
      </c>
      <c r="C9" s="143" t="s">
        <v>184</v>
      </c>
      <c r="D9" s="143" t="s">
        <v>185</v>
      </c>
      <c r="E9" s="143" t="s">
        <v>186</v>
      </c>
      <c r="F9" s="143" t="s">
        <v>187</v>
      </c>
      <c r="G9" s="143" t="s">
        <v>188</v>
      </c>
    </row>
    <row r="10" spans="1:7" ht="15.75" x14ac:dyDescent="0.25">
      <c r="A10" s="141">
        <v>9</v>
      </c>
      <c r="B10" s="142">
        <v>46323</v>
      </c>
      <c r="C10" s="143" t="s">
        <v>189</v>
      </c>
      <c r="D10" s="143" t="s">
        <v>190</v>
      </c>
      <c r="E10" s="143" t="s">
        <v>191</v>
      </c>
      <c r="F10" s="143" t="s">
        <v>192</v>
      </c>
      <c r="G10" s="143" t="s">
        <v>193</v>
      </c>
    </row>
    <row r="11" spans="1:7" ht="31.5" x14ac:dyDescent="0.25">
      <c r="A11" s="137">
        <v>10</v>
      </c>
      <c r="B11" s="139">
        <v>46330</v>
      </c>
      <c r="C11" s="140" t="s">
        <v>153</v>
      </c>
      <c r="D11" s="140" t="s">
        <v>153</v>
      </c>
      <c r="E11" s="140" t="s">
        <v>153</v>
      </c>
      <c r="F11" s="140" t="s">
        <v>153</v>
      </c>
      <c r="G11" s="140" t="s">
        <v>153</v>
      </c>
    </row>
    <row r="12" spans="1:7" ht="15.75" x14ac:dyDescent="0.25">
      <c r="A12" s="141">
        <v>11</v>
      </c>
      <c r="B12" s="142">
        <v>46337</v>
      </c>
      <c r="C12" s="143" t="s">
        <v>194</v>
      </c>
      <c r="D12" s="143" t="s">
        <v>195</v>
      </c>
      <c r="E12" s="143" t="s">
        <v>196</v>
      </c>
      <c r="F12" s="143" t="s">
        <v>197</v>
      </c>
      <c r="G12" s="143" t="s">
        <v>198</v>
      </c>
    </row>
    <row r="13" spans="1:7" ht="15.75" x14ac:dyDescent="0.25">
      <c r="A13" s="141">
        <v>12</v>
      </c>
      <c r="B13" s="142">
        <v>46344</v>
      </c>
      <c r="C13" s="143" t="s">
        <v>156</v>
      </c>
      <c r="D13" s="143" t="s">
        <v>158</v>
      </c>
      <c r="E13" s="143" t="s">
        <v>154</v>
      </c>
      <c r="F13" s="143" t="s">
        <v>157</v>
      </c>
      <c r="G13" s="143" t="s">
        <v>155</v>
      </c>
    </row>
    <row r="14" spans="1:7" ht="15.75" x14ac:dyDescent="0.25">
      <c r="A14" s="141">
        <v>13</v>
      </c>
      <c r="B14" s="142">
        <v>46351</v>
      </c>
      <c r="C14" s="143" t="s">
        <v>160</v>
      </c>
      <c r="D14" s="143" t="s">
        <v>163</v>
      </c>
      <c r="E14" s="143" t="s">
        <v>162</v>
      </c>
      <c r="F14" s="143" t="s">
        <v>161</v>
      </c>
      <c r="G14" s="143" t="s">
        <v>159</v>
      </c>
    </row>
    <row r="15" spans="1:7" ht="15.75" x14ac:dyDescent="0.25">
      <c r="A15" s="141">
        <v>14</v>
      </c>
      <c r="B15" s="142">
        <v>46358</v>
      </c>
      <c r="C15" s="143" t="s">
        <v>167</v>
      </c>
      <c r="D15" s="143" t="s">
        <v>165</v>
      </c>
      <c r="E15" s="143" t="s">
        <v>164</v>
      </c>
      <c r="F15" s="143" t="s">
        <v>166</v>
      </c>
      <c r="G15" s="143" t="s">
        <v>168</v>
      </c>
    </row>
    <row r="16" spans="1:7" ht="31.5" x14ac:dyDescent="0.25">
      <c r="A16" s="137">
        <v>15</v>
      </c>
      <c r="B16" s="139">
        <v>46365</v>
      </c>
      <c r="C16" s="140" t="s">
        <v>153</v>
      </c>
      <c r="D16" s="140" t="s">
        <v>153</v>
      </c>
      <c r="E16" s="140" t="s">
        <v>153</v>
      </c>
      <c r="F16" s="140" t="s">
        <v>153</v>
      </c>
      <c r="G16" s="140" t="s">
        <v>153</v>
      </c>
    </row>
    <row r="17" spans="1:7" ht="15.75" x14ac:dyDescent="0.25">
      <c r="A17" s="141">
        <v>16</v>
      </c>
      <c r="B17" s="142">
        <v>46372</v>
      </c>
      <c r="C17" s="143" t="s">
        <v>173</v>
      </c>
      <c r="D17" s="143" t="s">
        <v>172</v>
      </c>
      <c r="E17" s="143" t="s">
        <v>170</v>
      </c>
      <c r="F17" s="143" t="s">
        <v>171</v>
      </c>
      <c r="G17" s="143" t="s">
        <v>169</v>
      </c>
    </row>
    <row r="18" spans="1:7" ht="15.75" x14ac:dyDescent="0.25">
      <c r="A18" s="141">
        <v>17</v>
      </c>
      <c r="B18" s="142">
        <v>46393</v>
      </c>
      <c r="C18" s="143" t="s">
        <v>178</v>
      </c>
      <c r="D18" s="143" t="s">
        <v>175</v>
      </c>
      <c r="E18" s="143" t="s">
        <v>174</v>
      </c>
      <c r="F18" s="143" t="s">
        <v>177</v>
      </c>
      <c r="G18" s="143" t="s">
        <v>176</v>
      </c>
    </row>
    <row r="19" spans="1:7" ht="15.75" x14ac:dyDescent="0.25">
      <c r="A19" s="141">
        <v>18</v>
      </c>
      <c r="B19" s="142">
        <v>46400</v>
      </c>
      <c r="C19" s="143" t="s">
        <v>183</v>
      </c>
      <c r="D19" s="143" t="s">
        <v>199</v>
      </c>
      <c r="E19" s="143" t="s">
        <v>180</v>
      </c>
      <c r="F19" s="143" t="s">
        <v>181</v>
      </c>
      <c r="G19" s="143" t="s">
        <v>179</v>
      </c>
    </row>
    <row r="20" spans="1:7" ht="15.75" x14ac:dyDescent="0.25">
      <c r="A20" s="141">
        <v>19</v>
      </c>
      <c r="B20" s="142">
        <v>46407</v>
      </c>
      <c r="C20" s="143" t="s">
        <v>187</v>
      </c>
      <c r="D20" s="143" t="s">
        <v>188</v>
      </c>
      <c r="E20" s="143" t="s">
        <v>184</v>
      </c>
      <c r="F20" s="143" t="s">
        <v>185</v>
      </c>
      <c r="G20" s="143" t="s">
        <v>186</v>
      </c>
    </row>
    <row r="21" spans="1:7" ht="31.5" x14ac:dyDescent="0.25">
      <c r="A21" s="137">
        <v>20</v>
      </c>
      <c r="B21" s="139">
        <v>46414</v>
      </c>
      <c r="C21" s="140" t="s">
        <v>153</v>
      </c>
      <c r="D21" s="140" t="s">
        <v>153</v>
      </c>
      <c r="E21" s="140" t="s">
        <v>153</v>
      </c>
      <c r="F21" s="140" t="s">
        <v>153</v>
      </c>
      <c r="G21" s="140" t="s">
        <v>153</v>
      </c>
    </row>
    <row r="22" spans="1:7" ht="15.75" x14ac:dyDescent="0.25">
      <c r="A22" s="141">
        <v>21</v>
      </c>
      <c r="B22" s="142">
        <v>46421</v>
      </c>
      <c r="C22" s="143" t="s">
        <v>192</v>
      </c>
      <c r="D22" s="143" t="s">
        <v>189</v>
      </c>
      <c r="E22" s="143" t="s">
        <v>190</v>
      </c>
      <c r="F22" s="143" t="s">
        <v>193</v>
      </c>
      <c r="G22" s="143" t="s">
        <v>191</v>
      </c>
    </row>
    <row r="23" spans="1:7" ht="15.75" x14ac:dyDescent="0.25">
      <c r="A23" s="141">
        <v>22</v>
      </c>
      <c r="B23" s="142">
        <v>46428</v>
      </c>
      <c r="C23" s="143" t="s">
        <v>196</v>
      </c>
      <c r="D23" s="143" t="s">
        <v>195</v>
      </c>
      <c r="E23" s="143" t="s">
        <v>197</v>
      </c>
      <c r="F23" s="143" t="s">
        <v>198</v>
      </c>
      <c r="G23" s="143" t="s">
        <v>194</v>
      </c>
    </row>
    <row r="24" spans="1:7" ht="15.75" x14ac:dyDescent="0.25">
      <c r="A24" s="141">
        <v>23</v>
      </c>
      <c r="B24" s="142">
        <v>46435</v>
      </c>
      <c r="C24" s="143" t="s">
        <v>155</v>
      </c>
      <c r="D24" s="143" t="s">
        <v>158</v>
      </c>
      <c r="E24" s="143" t="s">
        <v>157</v>
      </c>
      <c r="F24" s="143" t="s">
        <v>154</v>
      </c>
      <c r="G24" s="143" t="s">
        <v>156</v>
      </c>
    </row>
    <row r="25" spans="1:7" ht="15.75" x14ac:dyDescent="0.25">
      <c r="A25" s="141">
        <v>24</v>
      </c>
      <c r="B25" s="142">
        <v>46442</v>
      </c>
      <c r="C25" s="143" t="s">
        <v>159</v>
      </c>
      <c r="D25" s="143" t="s">
        <v>162</v>
      </c>
      <c r="E25" s="143" t="s">
        <v>161</v>
      </c>
      <c r="F25" s="143" t="s">
        <v>160</v>
      </c>
      <c r="G25" s="143" t="s">
        <v>163</v>
      </c>
    </row>
    <row r="26" spans="1:7" ht="31.5" x14ac:dyDescent="0.25">
      <c r="A26" s="137">
        <v>25</v>
      </c>
      <c r="B26" s="139">
        <v>46449</v>
      </c>
      <c r="C26" s="140" t="s">
        <v>153</v>
      </c>
      <c r="D26" s="140" t="s">
        <v>153</v>
      </c>
      <c r="E26" s="140" t="s">
        <v>153</v>
      </c>
      <c r="F26" s="140" t="s">
        <v>153</v>
      </c>
      <c r="G26" s="140" t="s">
        <v>153</v>
      </c>
    </row>
    <row r="27" spans="1:7" ht="15.75" x14ac:dyDescent="0.25">
      <c r="A27" s="141">
        <v>26</v>
      </c>
      <c r="B27" s="142">
        <v>46456</v>
      </c>
      <c r="C27" s="143" t="s">
        <v>166</v>
      </c>
      <c r="D27" s="143" t="s">
        <v>164</v>
      </c>
      <c r="E27" s="143" t="s">
        <v>168</v>
      </c>
      <c r="F27" s="143" t="s">
        <v>165</v>
      </c>
      <c r="G27" s="143" t="s">
        <v>167</v>
      </c>
    </row>
    <row r="28" spans="1:7" ht="15.75" x14ac:dyDescent="0.25">
      <c r="A28" s="141">
        <v>27</v>
      </c>
      <c r="B28" s="142">
        <v>46463</v>
      </c>
      <c r="C28" s="143" t="s">
        <v>170</v>
      </c>
      <c r="D28" s="143" t="s">
        <v>169</v>
      </c>
      <c r="E28" s="143" t="s">
        <v>173</v>
      </c>
      <c r="F28" s="143" t="s">
        <v>172</v>
      </c>
      <c r="G28" s="143" t="s">
        <v>171</v>
      </c>
    </row>
    <row r="29" spans="1:7" ht="15.75" x14ac:dyDescent="0.25">
      <c r="A29" s="141">
        <v>28</v>
      </c>
      <c r="B29" s="142">
        <v>46470</v>
      </c>
      <c r="C29" s="143" t="s">
        <v>176</v>
      </c>
      <c r="D29" s="143" t="s">
        <v>177</v>
      </c>
      <c r="E29" s="143" t="s">
        <v>175</v>
      </c>
      <c r="F29" s="143" t="s">
        <v>178</v>
      </c>
      <c r="G29" s="143" t="s">
        <v>174</v>
      </c>
    </row>
    <row r="30" spans="1:7" ht="15.75" x14ac:dyDescent="0.25">
      <c r="A30" s="141">
        <v>29</v>
      </c>
      <c r="B30" s="142">
        <v>46477</v>
      </c>
      <c r="C30" s="143" t="s">
        <v>179</v>
      </c>
      <c r="D30" s="143" t="s">
        <v>181</v>
      </c>
      <c r="E30" s="143" t="s">
        <v>182</v>
      </c>
      <c r="F30" s="143" t="s">
        <v>183</v>
      </c>
      <c r="G30" s="143" t="s">
        <v>180</v>
      </c>
    </row>
    <row r="31" spans="1:7" ht="31.5" x14ac:dyDescent="0.25">
      <c r="A31" s="137">
        <v>30</v>
      </c>
      <c r="B31" s="139">
        <v>46484</v>
      </c>
      <c r="C31" s="140" t="s">
        <v>153</v>
      </c>
      <c r="D31" s="140" t="s">
        <v>153</v>
      </c>
      <c r="E31" s="140" t="s">
        <v>153</v>
      </c>
      <c r="F31" s="140" t="s">
        <v>153</v>
      </c>
      <c r="G31" s="140" t="s">
        <v>153</v>
      </c>
    </row>
    <row r="32" spans="1:7" ht="15.75" x14ac:dyDescent="0.25">
      <c r="A32" s="141">
        <v>31</v>
      </c>
      <c r="B32" s="142">
        <v>46491</v>
      </c>
      <c r="C32" s="143" t="s">
        <v>184</v>
      </c>
      <c r="D32" s="143" t="s">
        <v>187</v>
      </c>
      <c r="E32" s="143" t="s">
        <v>185</v>
      </c>
      <c r="F32" s="143" t="s">
        <v>186</v>
      </c>
      <c r="G32" s="143" t="s">
        <v>188</v>
      </c>
    </row>
    <row r="33" spans="1:7" ht="15.75" x14ac:dyDescent="0.25">
      <c r="A33" s="141">
        <v>32</v>
      </c>
      <c r="B33" s="142">
        <v>46498</v>
      </c>
      <c r="C33" s="143" t="s">
        <v>193</v>
      </c>
      <c r="D33" s="143" t="s">
        <v>190</v>
      </c>
      <c r="E33" s="143" t="s">
        <v>189</v>
      </c>
      <c r="F33" s="143" t="s">
        <v>191</v>
      </c>
      <c r="G33" s="143" t="s">
        <v>192</v>
      </c>
    </row>
    <row r="34" spans="1:7" ht="15.75" x14ac:dyDescent="0.25">
      <c r="A34" s="141">
        <v>33</v>
      </c>
      <c r="B34" s="142">
        <v>46505</v>
      </c>
      <c r="C34" s="143" t="s">
        <v>198</v>
      </c>
      <c r="D34" s="143" t="s">
        <v>197</v>
      </c>
      <c r="E34" s="143" t="s">
        <v>195</v>
      </c>
      <c r="F34" s="143" t="s">
        <v>196</v>
      </c>
      <c r="G34" s="143" t="s">
        <v>194</v>
      </c>
    </row>
    <row r="35" spans="1:7" ht="15.75" x14ac:dyDescent="0.25">
      <c r="A35" s="141">
        <v>34</v>
      </c>
      <c r="B35" s="142">
        <v>46512</v>
      </c>
      <c r="C35" s="143" t="s">
        <v>155</v>
      </c>
      <c r="D35" s="143" t="s">
        <v>157</v>
      </c>
      <c r="E35" s="143" t="s">
        <v>156</v>
      </c>
      <c r="F35" s="143" t="s">
        <v>154</v>
      </c>
      <c r="G35" s="143" t="s">
        <v>158</v>
      </c>
    </row>
    <row r="36" spans="1:7" ht="31.5" x14ac:dyDescent="0.25">
      <c r="A36" s="137">
        <v>35</v>
      </c>
      <c r="B36" s="139">
        <v>46519</v>
      </c>
      <c r="C36" s="140" t="s">
        <v>153</v>
      </c>
      <c r="D36" s="140" t="s">
        <v>153</v>
      </c>
      <c r="E36" s="140" t="s">
        <v>153</v>
      </c>
      <c r="F36" s="140" t="s">
        <v>153</v>
      </c>
      <c r="G36" s="140" t="s">
        <v>153</v>
      </c>
    </row>
    <row r="37" spans="1:7" ht="15.75" x14ac:dyDescent="0.25">
      <c r="A37" s="141">
        <v>36</v>
      </c>
      <c r="B37" s="142">
        <v>46526</v>
      </c>
      <c r="C37" s="143" t="s">
        <v>160</v>
      </c>
      <c r="D37" s="143" t="s">
        <v>161</v>
      </c>
      <c r="E37" s="143" t="s">
        <v>159</v>
      </c>
      <c r="F37" s="143" t="s">
        <v>162</v>
      </c>
      <c r="G37" s="143" t="s">
        <v>163</v>
      </c>
    </row>
    <row r="38" spans="1:7" ht="15.75" x14ac:dyDescent="0.25">
      <c r="A38" s="141">
        <v>37</v>
      </c>
      <c r="B38" s="142">
        <v>46533</v>
      </c>
      <c r="C38" s="143" t="s">
        <v>164</v>
      </c>
      <c r="D38" s="143" t="s">
        <v>168</v>
      </c>
      <c r="E38" s="143" t="s">
        <v>166</v>
      </c>
      <c r="F38" s="143" t="s">
        <v>167</v>
      </c>
      <c r="G38" s="143" t="s">
        <v>165</v>
      </c>
    </row>
    <row r="39" spans="1:7" ht="15.75" x14ac:dyDescent="0.25">
      <c r="A39" s="141">
        <v>38</v>
      </c>
      <c r="B39" s="142">
        <v>46540</v>
      </c>
      <c r="C39" s="143" t="s">
        <v>171</v>
      </c>
      <c r="D39" s="143" t="s">
        <v>173</v>
      </c>
      <c r="E39" s="143" t="s">
        <v>169</v>
      </c>
      <c r="F39" s="143" t="s">
        <v>170</v>
      </c>
      <c r="G39" s="143" t="s">
        <v>172</v>
      </c>
    </row>
    <row r="40" spans="1:7" ht="15.75" x14ac:dyDescent="0.25">
      <c r="A40" s="141">
        <v>39</v>
      </c>
      <c r="B40" s="142">
        <v>46547</v>
      </c>
      <c r="C40" s="143" t="s">
        <v>174</v>
      </c>
      <c r="D40" s="143" t="s">
        <v>178</v>
      </c>
      <c r="E40" s="143" t="s">
        <v>175</v>
      </c>
      <c r="F40" s="143" t="s">
        <v>177</v>
      </c>
      <c r="G40" s="143" t="s">
        <v>176</v>
      </c>
    </row>
    <row r="41" spans="1:7" ht="31.5" x14ac:dyDescent="0.25">
      <c r="A41" s="137">
        <v>40</v>
      </c>
      <c r="B41" s="139">
        <v>46554</v>
      </c>
      <c r="C41" s="140" t="s">
        <v>153</v>
      </c>
      <c r="D41" s="140" t="s">
        <v>153</v>
      </c>
      <c r="E41" s="140" t="s">
        <v>153</v>
      </c>
      <c r="F41" s="140" t="s">
        <v>153</v>
      </c>
      <c r="G41" s="140" t="s">
        <v>153</v>
      </c>
    </row>
    <row r="42" spans="1:7" x14ac:dyDescent="0.25">
      <c r="A42" s="51"/>
    </row>
    <row r="43" spans="1:7" ht="18.75" x14ac:dyDescent="0.3">
      <c r="A43" s="145" t="s">
        <v>208</v>
      </c>
      <c r="B43" s="145" t="s">
        <v>144</v>
      </c>
      <c r="C43" s="145"/>
    </row>
    <row r="44" spans="1:7" ht="18.75" x14ac:dyDescent="0.3">
      <c r="A44" s="145" t="s">
        <v>209</v>
      </c>
      <c r="B44" s="145" t="s">
        <v>91</v>
      </c>
      <c r="C44" s="145"/>
    </row>
    <row r="45" spans="1:7" ht="18.75" x14ac:dyDescent="0.3">
      <c r="A45" s="145" t="s">
        <v>210</v>
      </c>
      <c r="B45" s="145" t="s">
        <v>30</v>
      </c>
      <c r="C45" s="145"/>
    </row>
    <row r="46" spans="1:7" ht="18.75" x14ac:dyDescent="0.3">
      <c r="A46" s="145" t="s">
        <v>211</v>
      </c>
      <c r="B46" s="145" t="s">
        <v>23</v>
      </c>
      <c r="C46" s="145"/>
    </row>
    <row r="47" spans="1:7" ht="18.75" x14ac:dyDescent="0.3">
      <c r="A47" s="145" t="s">
        <v>212</v>
      </c>
      <c r="B47" s="145" t="s">
        <v>51</v>
      </c>
      <c r="C47" s="145"/>
    </row>
    <row r="48" spans="1:7" ht="18.75" x14ac:dyDescent="0.3">
      <c r="A48" s="145" t="s">
        <v>213</v>
      </c>
      <c r="B48" s="145" t="s">
        <v>88</v>
      </c>
      <c r="C48" s="145"/>
    </row>
    <row r="49" spans="1:3" ht="18.75" x14ac:dyDescent="0.3">
      <c r="A49" s="145" t="s">
        <v>214</v>
      </c>
      <c r="B49" s="145" t="s">
        <v>206</v>
      </c>
      <c r="C49" s="145"/>
    </row>
    <row r="50" spans="1:3" ht="18.75" x14ac:dyDescent="0.3">
      <c r="A50" s="145" t="s">
        <v>215</v>
      </c>
      <c r="B50" s="145" t="s">
        <v>204</v>
      </c>
      <c r="C50" s="145"/>
    </row>
    <row r="51" spans="1:3" ht="18.75" x14ac:dyDescent="0.3">
      <c r="A51" s="145" t="s">
        <v>216</v>
      </c>
      <c r="B51" s="145" t="s">
        <v>58</v>
      </c>
      <c r="C51" s="145"/>
    </row>
    <row r="52" spans="1:3" ht="18.75" x14ac:dyDescent="0.3">
      <c r="A52" s="145" t="s">
        <v>217</v>
      </c>
      <c r="B52" s="145" t="s">
        <v>218</v>
      </c>
      <c r="C52" s="145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S1</vt:lpstr>
      <vt:lpstr>T1</vt:lpstr>
      <vt:lpstr>S2</vt:lpstr>
      <vt:lpstr>T2</vt:lpstr>
      <vt:lpstr>S3</vt:lpstr>
      <vt:lpstr>T3</vt:lpstr>
      <vt:lpstr>S4</vt:lpstr>
      <vt:lpstr>T4</vt:lpstr>
      <vt:lpstr>S5</vt:lpstr>
      <vt:lpstr>T5</vt:lpstr>
      <vt:lpstr>S6</vt:lpstr>
      <vt:lpstr>T6</vt:lpstr>
      <vt:lpstr>S7</vt:lpstr>
      <vt:lpstr>T7</vt:lpstr>
      <vt:lpstr>Bahn1-2</vt:lpstr>
      <vt:lpstr>Bahn 3-4</vt:lpstr>
      <vt:lpstr>Bahn 5-6</vt:lpstr>
      <vt:lpstr>Bahn 7-8</vt:lpstr>
      <vt:lpstr>Bahn 9-10</vt:lpstr>
      <vt:lpstr>Blanco</vt:lpstr>
      <vt:lpstr>HC</vt:lpstr>
      <vt:lpstr>Spielplan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2026-10-15T06:45:32Z</dcterms:modified>
</cp:coreProperties>
</file>